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5D39B440-A880-47EE-876D-58B5D13C3CF2}" xr6:coauthVersionLast="47" xr6:coauthVersionMax="47" xr10:uidLastSave="{00000000-0000-0000-0000-000000000000}"/>
  <bookViews>
    <workbookView xWindow="22932" yWindow="-85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1" l="1"/>
  <c r="H46" i="1"/>
  <c r="H45" i="1"/>
  <c r="B30" i="1" l="1"/>
  <c r="B29" i="1"/>
  <c r="H37" i="1"/>
  <c r="H28" i="1"/>
  <c r="H3" i="1"/>
  <c r="I3" i="1"/>
  <c r="H4" i="1"/>
  <c r="I4" i="1"/>
  <c r="H5" i="1"/>
  <c r="I5" i="1"/>
  <c r="H6" i="1"/>
  <c r="I6" i="1"/>
  <c r="H9" i="1"/>
  <c r="I9" i="1"/>
  <c r="I40" i="1" s="1"/>
  <c r="H10" i="1"/>
  <c r="I10" i="1"/>
  <c r="H11" i="1"/>
  <c r="I11" i="1"/>
  <c r="H12" i="1"/>
  <c r="I12" i="1"/>
  <c r="H13" i="1"/>
  <c r="I13" i="1"/>
  <c r="H14" i="1"/>
  <c r="I14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40" i="1"/>
  <c r="H41" i="1" l="1"/>
  <c r="J23" i="1"/>
  <c r="J22" i="1"/>
  <c r="J21" i="1"/>
  <c r="J20" i="1"/>
  <c r="J19" i="1"/>
  <c r="J18" i="1"/>
  <c r="J17" i="1"/>
  <c r="J14" i="1"/>
  <c r="J13" i="1"/>
  <c r="J12" i="1"/>
  <c r="J11" i="1"/>
  <c r="J10" i="1"/>
  <c r="J9" i="1"/>
  <c r="J6" i="1" l="1"/>
  <c r="J5" i="1"/>
  <c r="J4" i="1"/>
  <c r="J3" i="1"/>
  <c r="B35" i="1"/>
  <c r="B36" i="1"/>
  <c r="B37" i="1"/>
  <c r="B27" i="1"/>
  <c r="H42" i="1" s="1"/>
  <c r="H31" i="1"/>
  <c r="H35" i="1" s="1"/>
  <c r="H32" i="1"/>
  <c r="H34" i="1"/>
  <c r="H36" i="1"/>
  <c r="H26" i="1"/>
  <c r="H27" i="1"/>
  <c r="I32" i="1"/>
  <c r="J33" i="1"/>
  <c r="J32" i="1"/>
  <c r="C37" i="1"/>
  <c r="H33" i="1" l="1"/>
  <c r="J46" i="1"/>
  <c r="J45" i="1"/>
  <c r="I26" i="1" l="1"/>
  <c r="I36" i="1"/>
  <c r="I37" i="1"/>
  <c r="I41" i="1" s="1"/>
  <c r="J41" i="1"/>
  <c r="J40" i="1"/>
  <c r="J37" i="1"/>
  <c r="J36" i="1"/>
  <c r="J35" i="1"/>
  <c r="J34" i="1"/>
  <c r="I34" i="1"/>
  <c r="J31" i="1"/>
  <c r="I31" i="1"/>
  <c r="J28" i="1"/>
  <c r="I28" i="1"/>
  <c r="J27" i="1"/>
  <c r="I27" i="1"/>
  <c r="J26" i="1"/>
  <c r="J42" i="1"/>
  <c r="C35" i="1"/>
  <c r="C36" i="1"/>
  <c r="C27" i="1"/>
  <c r="I42" i="1" l="1"/>
  <c r="C29" i="1"/>
  <c r="C30" i="1"/>
  <c r="I35" i="1" s="1"/>
  <c r="I33" i="1"/>
  <c r="J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0" authorId="0" shapeId="0" xr:uid="{64A63030-F38D-44D7-B042-5836DAF65A86}">
      <text>
        <r>
          <rPr>
            <sz val="9"/>
            <color indexed="81"/>
            <rFont val="Tahoma"/>
            <family val="2"/>
          </rPr>
          <t>Another name: Leverage</t>
        </r>
      </text>
    </comment>
  </commentList>
</comments>
</file>

<file path=xl/sharedStrings.xml><?xml version="1.0" encoding="utf-8"?>
<sst xmlns="http://schemas.openxmlformats.org/spreadsheetml/2006/main" count="70" uniqueCount="68">
  <si>
    <t xml:space="preserve">Johnson and Johnson </t>
  </si>
  <si>
    <t>Input financial variables</t>
  </si>
  <si>
    <t xml:space="preserve">Current Asset </t>
  </si>
  <si>
    <t>DOL</t>
  </si>
  <si>
    <t>Current Liability</t>
  </si>
  <si>
    <t>Quick Ratio</t>
  </si>
  <si>
    <t>DFL</t>
  </si>
  <si>
    <t>Cash and Cash equivalents</t>
  </si>
  <si>
    <t>Cash Ratio</t>
  </si>
  <si>
    <t>DCL</t>
  </si>
  <si>
    <t xml:space="preserve">Marketable securities </t>
  </si>
  <si>
    <t>Net working capital to total asset</t>
  </si>
  <si>
    <t>Account Receivables</t>
  </si>
  <si>
    <t>Total Asset</t>
  </si>
  <si>
    <t>Total Liability</t>
  </si>
  <si>
    <t>Debt to Asset</t>
  </si>
  <si>
    <t>Total Equity</t>
  </si>
  <si>
    <t>Debt to Equity</t>
  </si>
  <si>
    <t>Equity Multiplier</t>
  </si>
  <si>
    <t>Times Interest Paid</t>
  </si>
  <si>
    <t>Interest Expense</t>
  </si>
  <si>
    <t>Long term debt ratio</t>
  </si>
  <si>
    <t>Long term debt</t>
  </si>
  <si>
    <t>Cash coverage ratio</t>
  </si>
  <si>
    <t>Sales</t>
  </si>
  <si>
    <t>Day's sales in receivables</t>
  </si>
  <si>
    <t>Inventory</t>
  </si>
  <si>
    <t>Receivables Turnover</t>
  </si>
  <si>
    <t>Fixed Asset</t>
  </si>
  <si>
    <t>Day's sales in Inventory</t>
  </si>
  <si>
    <t>Net Income</t>
  </si>
  <si>
    <t>Inventory Turnover</t>
  </si>
  <si>
    <t>Dividend payout</t>
  </si>
  <si>
    <t>Fixed Asset Turnover</t>
  </si>
  <si>
    <t>Total Asset Turnover</t>
  </si>
  <si>
    <t xml:space="preserve">Price of last trading day </t>
  </si>
  <si>
    <t>Net working capital turnover</t>
  </si>
  <si>
    <t>Profit Margin</t>
  </si>
  <si>
    <t>ROA</t>
  </si>
  <si>
    <t>ROE</t>
  </si>
  <si>
    <t>Price-Earnings Ratio</t>
  </si>
  <si>
    <t>Market-to-book ratio</t>
  </si>
  <si>
    <t>Earning yield</t>
  </si>
  <si>
    <t>DPS</t>
  </si>
  <si>
    <t>Divdend yield</t>
  </si>
  <si>
    <t>EPS</t>
  </si>
  <si>
    <t>PEG ratio</t>
  </si>
  <si>
    <t>Current Ratio</t>
    <phoneticPr fontId="4" type="noConversion"/>
  </si>
  <si>
    <t xml:space="preserve">Dividend Payout Ratio </t>
  </si>
  <si>
    <t>Sustainable Growth Rate, Method 1</t>
  </si>
  <si>
    <t>Sustainable Growth Rate, Method 2</t>
  </si>
  <si>
    <t>DOL, DFL, DCL</t>
  </si>
  <si>
    <t>Dividend payout ratio</t>
  </si>
  <si>
    <t>Provision for taxes on income (taxes expense)</t>
  </si>
  <si>
    <t>Total common share outstanding (Common stock issued amount)</t>
  </si>
  <si>
    <t>Cost of Goods Sold</t>
  </si>
  <si>
    <t>Depreciation and amortization of property and intangible</t>
  </si>
  <si>
    <t>Enterprise value-EBITDA ratio</t>
  </si>
  <si>
    <t>Financial Ratios</t>
  </si>
  <si>
    <t>Liquidity ratios</t>
  </si>
  <si>
    <t>Financial Leverage ratios</t>
  </si>
  <si>
    <t>Asset Efficiency ratios</t>
  </si>
  <si>
    <t>Market Value Ratios</t>
  </si>
  <si>
    <t>Policy Ratioss (from above ratios)</t>
  </si>
  <si>
    <t>Sustainable growth rate</t>
  </si>
  <si>
    <t>Profitability ratios (percentage)</t>
  </si>
  <si>
    <t>EBIT</t>
  </si>
  <si>
    <t>SGR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</si>
</sst>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00"/>
    <numFmt numFmtId="167" formatCode="#,##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Calibri"/>
      <family val="3"/>
      <charset val="134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3" fontId="0" fillId="0" borderId="0" xfId="0" applyNumberFormat="1"/>
    <xf numFmtId="3" fontId="0" fillId="0" borderId="0" xfId="0" applyNumberFormat="1" applyFill="1"/>
    <xf numFmtId="164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6" fillId="0" borderId="0" xfId="0" applyFont="1"/>
    <xf numFmtId="165" fontId="0" fillId="0" borderId="0" xfId="0" applyNumberFormat="1"/>
    <xf numFmtId="0" fontId="0" fillId="0" borderId="0" xfId="0" applyFill="1"/>
    <xf numFmtId="0" fontId="0" fillId="2" borderId="0" xfId="0" applyFill="1"/>
    <xf numFmtId="0" fontId="7" fillId="0" borderId="0" xfId="0" applyFont="1"/>
    <xf numFmtId="166" fontId="0" fillId="0" borderId="0" xfId="0" applyNumberForma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2" fontId="6" fillId="0" borderId="0" xfId="0" applyNumberFormat="1" applyFont="1"/>
    <xf numFmtId="165" fontId="6" fillId="0" borderId="0" xfId="0" applyNumberFormat="1" applyFont="1"/>
    <xf numFmtId="10" fontId="0" fillId="0" borderId="0" xfId="1" applyNumberFormat="1" applyFont="1"/>
    <xf numFmtId="0" fontId="6" fillId="0" borderId="0" xfId="0" applyFont="1" applyFill="1"/>
    <xf numFmtId="0" fontId="2" fillId="0" borderId="0" xfId="0" applyFont="1" applyFill="1"/>
    <xf numFmtId="2" fontId="0" fillId="0" borderId="0" xfId="0" applyNumberFormat="1" applyFill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2" fontId="6" fillId="0" borderId="0" xfId="0" applyNumberFormat="1" applyFont="1" applyFill="1"/>
    <xf numFmtId="167" fontId="0" fillId="0" borderId="0" xfId="0" applyNumberFormat="1" applyFill="1"/>
    <xf numFmtId="3" fontId="6" fillId="0" borderId="0" xfId="0" applyNumberFormat="1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6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="80" zoomScaleNormal="80" workbookViewId="0">
      <pane ySplit="2" topLeftCell="A3" activePane="bottomLeft" state="frozen"/>
      <selection pane="bottomLeft" activeCell="B2" sqref="B2"/>
    </sheetView>
  </sheetViews>
  <sheetFormatPr defaultRowHeight="14.5"/>
  <cols>
    <col min="1" max="1" width="53.90625" customWidth="1"/>
    <col min="2" max="2" width="13.36328125" customWidth="1"/>
    <col min="3" max="3" width="11.453125" customWidth="1"/>
    <col min="4" max="4" width="4.1796875" customWidth="1"/>
    <col min="5" max="5" width="3.6328125" customWidth="1"/>
    <col min="6" max="6" width="4.26953125" style="14" customWidth="1"/>
    <col min="7" max="7" width="30.7265625" customWidth="1"/>
    <col min="8" max="8" width="23.453125" customWidth="1"/>
    <col min="9" max="9" width="11.453125" customWidth="1"/>
    <col min="10" max="10" width="49.453125" style="31" customWidth="1"/>
    <col min="12" max="12" width="8.54296875" customWidth="1"/>
    <col min="2000" max="2000" width="2.453125" customWidth="1"/>
  </cols>
  <sheetData>
    <row r="1" spans="1:12" s="9" customFormat="1" ht="17.5">
      <c r="A1" s="20" t="s">
        <v>0</v>
      </c>
      <c r="B1" s="20"/>
      <c r="C1" s="20"/>
      <c r="D1" s="20"/>
      <c r="F1" s="14"/>
      <c r="G1" s="20" t="s">
        <v>58</v>
      </c>
      <c r="H1" s="20"/>
      <c r="I1" s="20"/>
      <c r="J1" s="27"/>
    </row>
    <row r="2" spans="1:12" s="9" customFormat="1" ht="19.5" customHeight="1">
      <c r="A2" s="6" t="s">
        <v>1</v>
      </c>
      <c r="B2" s="6">
        <v>2021</v>
      </c>
      <c r="C2" s="6">
        <v>2020</v>
      </c>
      <c r="D2" s="6"/>
      <c r="F2" s="14"/>
      <c r="G2" s="13" t="s">
        <v>59</v>
      </c>
      <c r="H2" s="13">
        <v>2021</v>
      </c>
      <c r="I2" s="13">
        <v>2020</v>
      </c>
      <c r="J2" s="28"/>
    </row>
    <row r="3" spans="1:12" s="9" customFormat="1">
      <c r="A3" s="9" t="s">
        <v>7</v>
      </c>
      <c r="B3" s="9">
        <v>14487</v>
      </c>
      <c r="C3" s="3">
        <v>13985</v>
      </c>
      <c r="D3" s="3"/>
      <c r="F3" s="15">
        <v>1</v>
      </c>
      <c r="G3" s="9" t="s">
        <v>47</v>
      </c>
      <c r="H3" s="21">
        <f>B7/B10</f>
        <v>1.3483173395834254</v>
      </c>
      <c r="I3" s="21">
        <f>C7/C10</f>
        <v>1.205775068834867</v>
      </c>
      <c r="J3" s="29" t="str">
        <f>"=current asset / current liability"</f>
        <v>=current asset / current liability</v>
      </c>
    </row>
    <row r="4" spans="1:12" s="9" customFormat="1">
      <c r="A4" s="9" t="s">
        <v>10</v>
      </c>
      <c r="B4" s="9">
        <v>17121</v>
      </c>
      <c r="C4" s="3">
        <v>11200</v>
      </c>
      <c r="D4" s="3"/>
      <c r="F4" s="14">
        <v>2</v>
      </c>
      <c r="G4" s="9" t="s">
        <v>5</v>
      </c>
      <c r="H4" s="21">
        <f>(B3+B4+B5)/B10</f>
        <v>1.0368151063547517</v>
      </c>
      <c r="I4" s="21">
        <f>(C3+C4+C5)/C10</f>
        <v>0.91217376979737841</v>
      </c>
      <c r="J4" s="29" t="str">
        <f>"=(cash+MS+AR) / current liability"</f>
        <v>=(cash+MS+AR) / current liability</v>
      </c>
    </row>
    <row r="5" spans="1:12" s="9" customFormat="1">
      <c r="A5" s="9" t="s">
        <v>12</v>
      </c>
      <c r="B5" s="9">
        <v>15283</v>
      </c>
      <c r="C5" s="3">
        <v>13576</v>
      </c>
      <c r="D5" s="3"/>
      <c r="F5" s="14">
        <v>3</v>
      </c>
      <c r="G5" s="9" t="s">
        <v>8</v>
      </c>
      <c r="H5" s="21">
        <f>(B3+B4)/B10</f>
        <v>0.69889001901561054</v>
      </c>
      <c r="I5" s="21">
        <f>(C3+C4)/C10</f>
        <v>0.59268585414068198</v>
      </c>
      <c r="J5" s="29" t="str">
        <f>"= (cash+MS) / current liability"</f>
        <v>= (cash+MS) / current liability</v>
      </c>
    </row>
    <row r="6" spans="1:12" s="9" customFormat="1">
      <c r="A6" s="9" t="s">
        <v>26</v>
      </c>
      <c r="B6" s="9">
        <v>10387</v>
      </c>
      <c r="C6" s="3">
        <v>9344</v>
      </c>
      <c r="D6" s="3"/>
      <c r="F6" s="14">
        <v>4</v>
      </c>
      <c r="G6" s="9" t="s">
        <v>11</v>
      </c>
      <c r="H6" s="21">
        <f>(B7-B10)/B9</f>
        <v>8.6546385522310976E-2</v>
      </c>
      <c r="I6" s="21">
        <f>(C7-C10)/C9</f>
        <v>4.9995997575674411E-2</v>
      </c>
      <c r="J6" s="29" t="str">
        <f>"=Net working capital / current asset"</f>
        <v>=Net working capital / current asset</v>
      </c>
    </row>
    <row r="7" spans="1:12" s="9" customFormat="1">
      <c r="A7" s="9" t="s">
        <v>2</v>
      </c>
      <c r="B7" s="9">
        <v>60979</v>
      </c>
      <c r="C7" s="3">
        <v>51237</v>
      </c>
      <c r="D7" s="3"/>
      <c r="F7" s="14"/>
      <c r="J7" s="29"/>
    </row>
    <row r="8" spans="1:12" s="9" customFormat="1">
      <c r="A8" s="9" t="s">
        <v>28</v>
      </c>
      <c r="B8" s="9">
        <v>18962</v>
      </c>
      <c r="C8" s="3">
        <v>18766</v>
      </c>
      <c r="D8" s="3"/>
      <c r="F8" s="14"/>
      <c r="G8" s="13" t="s">
        <v>60</v>
      </c>
      <c r="H8" s="13"/>
      <c r="I8" s="13"/>
      <c r="J8" s="28"/>
      <c r="K8" s="23"/>
      <c r="L8" s="22"/>
    </row>
    <row r="9" spans="1:12" s="9" customFormat="1">
      <c r="A9" s="9" t="s">
        <v>13</v>
      </c>
      <c r="B9" s="9">
        <v>182018</v>
      </c>
      <c r="C9" s="3">
        <v>174894</v>
      </c>
      <c r="D9" s="3"/>
      <c r="F9" s="14">
        <v>5</v>
      </c>
      <c r="G9" s="9" t="s">
        <v>15</v>
      </c>
      <c r="H9" s="21">
        <f>B12/B9</f>
        <v>0.59332044083552171</v>
      </c>
      <c r="I9" s="21">
        <f>C12/C9</f>
        <v>0.63819227646460142</v>
      </c>
      <c r="J9" s="29" t="str">
        <f>"=total liability / total asset"</f>
        <v>=total liability / total asset</v>
      </c>
    </row>
    <row r="10" spans="1:12" s="9" customFormat="1">
      <c r="A10" s="9" t="s">
        <v>4</v>
      </c>
      <c r="B10" s="9">
        <v>45226</v>
      </c>
      <c r="C10" s="3">
        <v>42493</v>
      </c>
      <c r="D10" s="3"/>
      <c r="F10" s="14">
        <v>6</v>
      </c>
      <c r="G10" s="9" t="s">
        <v>17</v>
      </c>
      <c r="H10" s="21">
        <f>B12/B13</f>
        <v>1.4589384380530375</v>
      </c>
      <c r="I10" s="21">
        <f>C12/C13</f>
        <v>1.7638989854293752</v>
      </c>
      <c r="J10" s="29" t="str">
        <f>"=total liability / total equity"</f>
        <v>=total liability / total equity</v>
      </c>
    </row>
    <row r="11" spans="1:12" s="9" customFormat="1">
      <c r="A11" s="9" t="s">
        <v>22</v>
      </c>
      <c r="B11" s="9">
        <v>29985</v>
      </c>
      <c r="C11" s="3">
        <v>32635</v>
      </c>
      <c r="D11" s="3"/>
      <c r="F11" s="14">
        <v>7</v>
      </c>
      <c r="G11" s="9" t="s">
        <v>18</v>
      </c>
      <c r="H11" s="21">
        <f>B9/B13</f>
        <v>2.4589384380530377</v>
      </c>
      <c r="I11" s="21">
        <f>C9/C13</f>
        <v>2.7638989854293752</v>
      </c>
      <c r="J11" s="29" t="str">
        <f>"=total asset / total equity"</f>
        <v>=total asset / total equity</v>
      </c>
      <c r="K11" s="23"/>
    </row>
    <row r="12" spans="1:12" s="9" customFormat="1">
      <c r="A12" s="9" t="s">
        <v>14</v>
      </c>
      <c r="B12" s="9">
        <v>107995</v>
      </c>
      <c r="C12" s="3">
        <v>111616</v>
      </c>
      <c r="D12" s="3"/>
      <c r="E12" s="3"/>
      <c r="F12" s="15">
        <v>8</v>
      </c>
      <c r="G12" s="9" t="s">
        <v>19</v>
      </c>
      <c r="H12" s="21">
        <f>(B18+B16+B17)/B16</f>
        <v>125.45901639344262</v>
      </c>
      <c r="I12" s="21">
        <f>(C18+C16+C17)/C16</f>
        <v>83.074626865671647</v>
      </c>
      <c r="J12" s="29" t="str">
        <f>"= EBIT / interest expense"</f>
        <v>= EBIT / interest expense</v>
      </c>
    </row>
    <row r="13" spans="1:12" s="9" customFormat="1">
      <c r="A13" s="9" t="s">
        <v>16</v>
      </c>
      <c r="B13" s="9">
        <v>74023</v>
      </c>
      <c r="C13" s="3">
        <v>63278</v>
      </c>
      <c r="D13" s="3"/>
      <c r="F13" s="14">
        <v>9</v>
      </c>
      <c r="G13" s="9" t="s">
        <v>21</v>
      </c>
      <c r="H13" s="21">
        <f>B11/(B11+B13)</f>
        <v>0.28829513114375815</v>
      </c>
      <c r="I13" s="21">
        <f>C11/(C11+C13)</f>
        <v>0.34025627391490204</v>
      </c>
      <c r="J13" s="29" t="str">
        <f>"= long term debt / (long term debt+total equity)"</f>
        <v>= long term debt / (long term debt+total equity)</v>
      </c>
    </row>
    <row r="14" spans="1:12" s="9" customFormat="1">
      <c r="A14" s="9" t="s">
        <v>24</v>
      </c>
      <c r="B14" s="9">
        <v>93775</v>
      </c>
      <c r="C14" s="3">
        <v>82584</v>
      </c>
      <c r="D14" s="3"/>
      <c r="F14" s="14">
        <v>10</v>
      </c>
      <c r="G14" s="19" t="s">
        <v>23</v>
      </c>
      <c r="H14" s="24">
        <f>(B18+B17+B16+B21)/B16</f>
        <v>165.84153005464481</v>
      </c>
      <c r="I14" s="24">
        <f>(C18+C17+C16+C21)/C16</f>
        <v>119.04975124378109</v>
      </c>
      <c r="J14" s="30" t="str">
        <f>"=(EBIT=Depreciation) / interest expense"</f>
        <v>=(EBIT=Depreciation) / interest expense</v>
      </c>
    </row>
    <row r="15" spans="1:12" s="9" customFormat="1">
      <c r="A15" s="9" t="s">
        <v>55</v>
      </c>
      <c r="B15" s="9">
        <v>29855</v>
      </c>
      <c r="C15" s="3">
        <v>28427</v>
      </c>
      <c r="D15" s="3"/>
      <c r="F15" s="14"/>
      <c r="J15" s="29"/>
    </row>
    <row r="16" spans="1:12" s="9" customFormat="1">
      <c r="A16" s="9" t="s">
        <v>20</v>
      </c>
      <c r="B16" s="9">
        <v>183</v>
      </c>
      <c r="C16" s="9">
        <v>201</v>
      </c>
      <c r="F16" s="14"/>
      <c r="G16" s="13" t="s">
        <v>61</v>
      </c>
      <c r="H16" s="13"/>
      <c r="I16" s="13"/>
      <c r="J16" s="28"/>
    </row>
    <row r="17" spans="1:14" s="9" customFormat="1">
      <c r="A17" s="9" t="s">
        <v>53</v>
      </c>
      <c r="B17" s="9">
        <v>1898</v>
      </c>
      <c r="C17" s="3">
        <v>1783</v>
      </c>
      <c r="D17" s="3"/>
      <c r="F17" s="14">
        <v>11</v>
      </c>
      <c r="G17" s="9" t="s">
        <v>25</v>
      </c>
      <c r="H17" s="21">
        <f>B5/(B14/365)</f>
        <v>59.485950413223136</v>
      </c>
      <c r="I17" s="21">
        <f>C5/(C14/365)</f>
        <v>60.002421776615321</v>
      </c>
      <c r="J17" s="29" t="str">
        <f>"=AR / (Sales / 365)"</f>
        <v>=AR / (Sales / 365)</v>
      </c>
    </row>
    <row r="18" spans="1:14" s="9" customFormat="1">
      <c r="A18" s="9" t="s">
        <v>30</v>
      </c>
      <c r="B18" s="9">
        <v>20878</v>
      </c>
      <c r="C18" s="3">
        <v>14714</v>
      </c>
      <c r="D18" s="3"/>
      <c r="F18" s="14">
        <v>12</v>
      </c>
      <c r="G18" s="9" t="s">
        <v>27</v>
      </c>
      <c r="H18" s="21">
        <f>B14/B5</f>
        <v>6.1359026369168355</v>
      </c>
      <c r="I18" s="21">
        <f>C14/C5</f>
        <v>6.0830878020035355</v>
      </c>
      <c r="J18" s="29" t="str">
        <f>"= Sales / AR"</f>
        <v>= Sales / AR</v>
      </c>
    </row>
    <row r="19" spans="1:14" s="9" customFormat="1">
      <c r="A19" s="9" t="s">
        <v>54</v>
      </c>
      <c r="B19" s="9">
        <v>2632.1</v>
      </c>
      <c r="C19" s="25">
        <v>2632.8</v>
      </c>
      <c r="D19" s="25"/>
      <c r="F19" s="14">
        <v>13</v>
      </c>
      <c r="G19" s="9" t="s">
        <v>29</v>
      </c>
      <c r="H19" s="21">
        <f>B6/(B15/365)</f>
        <v>126.98894657511303</v>
      </c>
      <c r="I19" s="21">
        <f>C6/(C15/365)</f>
        <v>119.97607907974813</v>
      </c>
      <c r="J19" s="29" t="str">
        <f>"= inventory / (COGS / 365)"</f>
        <v>= inventory / (COGS / 365)</v>
      </c>
    </row>
    <row r="20" spans="1:14" s="9" customFormat="1">
      <c r="A20" s="9" t="s">
        <v>32</v>
      </c>
      <c r="B20" s="9">
        <v>11032</v>
      </c>
      <c r="C20" s="3">
        <v>10481</v>
      </c>
      <c r="D20" s="3"/>
      <c r="F20" s="14">
        <v>14</v>
      </c>
      <c r="G20" s="9" t="s">
        <v>31</v>
      </c>
      <c r="H20" s="21">
        <f>B15/B6</f>
        <v>2.874265909309714</v>
      </c>
      <c r="I20" s="21">
        <f>C15/C6</f>
        <v>3.0422731164383561</v>
      </c>
      <c r="J20" s="29" t="str">
        <f>"= COGS / inventory"</f>
        <v>= COGS / inventory</v>
      </c>
    </row>
    <row r="21" spans="1:14" s="9" customFormat="1">
      <c r="A21" s="19" t="s">
        <v>56</v>
      </c>
      <c r="B21" s="19">
        <v>7390</v>
      </c>
      <c r="C21" s="26">
        <v>7231</v>
      </c>
      <c r="D21" s="26"/>
      <c r="F21" s="14">
        <v>15</v>
      </c>
      <c r="G21" s="9" t="s">
        <v>33</v>
      </c>
      <c r="H21" s="21">
        <f>B14/B8</f>
        <v>4.9454171500896527</v>
      </c>
      <c r="I21" s="21">
        <f>C14/C8</f>
        <v>4.4007247149099431</v>
      </c>
      <c r="J21" s="29" t="str">
        <f>"= sales / fixed asset"</f>
        <v>= sales / fixed asset</v>
      </c>
    </row>
    <row r="22" spans="1:14" s="9" customFormat="1">
      <c r="A22" s="19" t="s">
        <v>35</v>
      </c>
      <c r="B22" s="19">
        <v>171.07</v>
      </c>
      <c r="C22" s="19">
        <v>157.38</v>
      </c>
      <c r="D22" s="19"/>
      <c r="F22" s="14">
        <v>16</v>
      </c>
      <c r="G22" s="9" t="s">
        <v>34</v>
      </c>
      <c r="H22" s="21">
        <f>B14/B9</f>
        <v>0.51519629926710542</v>
      </c>
      <c r="I22" s="21">
        <f>C14/C9</f>
        <v>0.47219458643521217</v>
      </c>
      <c r="J22" s="29" t="str">
        <f>"= sales / total asset"</f>
        <v>= sales / total asset</v>
      </c>
    </row>
    <row r="23" spans="1:14">
      <c r="E23" s="9"/>
      <c r="F23" s="14">
        <v>17</v>
      </c>
      <c r="G23" s="9" t="s">
        <v>36</v>
      </c>
      <c r="H23" s="5">
        <f>B14/(B7-B10)</f>
        <v>5.9528343807528721</v>
      </c>
      <c r="I23" s="5">
        <f>C14/(C7-C10)</f>
        <v>9.4446477584629456</v>
      </c>
      <c r="J23" s="29" t="str">
        <f>"= sales / net working capital"</f>
        <v>= sales / net working capital</v>
      </c>
    </row>
    <row r="24" spans="1:14">
      <c r="E24" s="9"/>
      <c r="G24" s="9"/>
      <c r="H24" s="9"/>
      <c r="I24" s="9"/>
      <c r="J24" s="29"/>
    </row>
    <row r="25" spans="1:14">
      <c r="A25" s="10" t="s">
        <v>67</v>
      </c>
      <c r="B25" s="10"/>
      <c r="C25" s="10"/>
      <c r="D25" s="10"/>
      <c r="E25" s="9"/>
      <c r="G25" s="13" t="s">
        <v>65</v>
      </c>
      <c r="H25" s="13"/>
      <c r="I25" s="13"/>
      <c r="J25" s="28"/>
    </row>
    <row r="26" spans="1:14">
      <c r="E26" s="9"/>
      <c r="F26" s="14">
        <v>18</v>
      </c>
      <c r="G26" s="9" t="s">
        <v>37</v>
      </c>
      <c r="H26" s="18">
        <f>B18/B14</f>
        <v>0.22263929618768327</v>
      </c>
      <c r="I26" s="18">
        <f>C18/C14</f>
        <v>0.17817010558946042</v>
      </c>
      <c r="J26" s="29" t="str">
        <f>"=B18/B14"</f>
        <v>=B18/B14</v>
      </c>
      <c r="K26" s="5"/>
      <c r="L26" s="5"/>
      <c r="M26" s="5"/>
      <c r="N26" s="5"/>
    </row>
    <row r="27" spans="1:14">
      <c r="A27" t="s">
        <v>48</v>
      </c>
      <c r="B27" s="4">
        <f>B20/B18</f>
        <v>0.52840310374556954</v>
      </c>
      <c r="C27" s="4">
        <f>C20/C18</f>
        <v>0.71231480222916954</v>
      </c>
      <c r="D27" s="4"/>
      <c r="E27" s="9"/>
      <c r="F27" s="14">
        <v>19</v>
      </c>
      <c r="G27" s="9" t="s">
        <v>38</v>
      </c>
      <c r="H27" s="18">
        <f>B18/B9</f>
        <v>0.1147029414673274</v>
      </c>
      <c r="I27" s="18">
        <f>C18/C9</f>
        <v>8.4130959323933358E-2</v>
      </c>
      <c r="J27" s="29" t="str">
        <f>"=B18/B9"</f>
        <v>=B18/B9</v>
      </c>
      <c r="K27" s="5"/>
      <c r="L27" s="5"/>
      <c r="M27" s="5"/>
      <c r="N27" s="5"/>
    </row>
    <row r="28" spans="1:14">
      <c r="F28" s="14">
        <v>20</v>
      </c>
      <c r="G28" t="s">
        <v>39</v>
      </c>
      <c r="H28" s="18">
        <f>B18/B13</f>
        <v>0.28204747173175904</v>
      </c>
      <c r="I28" s="18">
        <f>C18/C13</f>
        <v>0.23252947311861943</v>
      </c>
      <c r="J28" s="31" t="str">
        <f>"=B18/B13"</f>
        <v>=B18/B13</v>
      </c>
      <c r="K28" s="5"/>
      <c r="L28" s="5"/>
      <c r="M28" s="5"/>
      <c r="N28" s="5"/>
    </row>
    <row r="29" spans="1:14">
      <c r="A29" t="s">
        <v>49</v>
      </c>
      <c r="B29" s="12">
        <f>((1-B27)*H28)/(1-((1-B27)*H28))</f>
        <v>0.15341944933543167</v>
      </c>
      <c r="C29" s="12">
        <f>((1-C27)*I28)/(1-((1-C27)*I28))</f>
        <v>7.1691083072233042E-2</v>
      </c>
      <c r="D29" s="12"/>
    </row>
    <row r="30" spans="1:14">
      <c r="A30" t="s">
        <v>50</v>
      </c>
      <c r="B30" s="12">
        <f>H28*(1-B27)</f>
        <v>0.13301271226510678</v>
      </c>
      <c r="C30" s="12">
        <f>I28*(1-C27)</f>
        <v>6.6895287461677042E-2</v>
      </c>
      <c r="D30" s="12"/>
      <c r="G30" s="1" t="s">
        <v>62</v>
      </c>
      <c r="H30" s="1"/>
      <c r="I30" s="1"/>
      <c r="J30" s="32"/>
    </row>
    <row r="31" spans="1:14">
      <c r="F31" s="14">
        <v>21</v>
      </c>
      <c r="G31" s="7" t="s">
        <v>40</v>
      </c>
      <c r="H31" s="5">
        <f>B22/(B18/B19)</f>
        <v>21.566881262573041</v>
      </c>
      <c r="I31" s="5">
        <f>C22/(C18/C19)</f>
        <v>28.160259888541525</v>
      </c>
      <c r="J31" s="31" t="str">
        <f>"=B22/(B18/B19)"</f>
        <v>=B22/(B18/B19)</v>
      </c>
      <c r="K31" s="5"/>
      <c r="L31" s="5"/>
      <c r="M31" s="5"/>
      <c r="N31" s="5"/>
    </row>
    <row r="32" spans="1:14">
      <c r="F32" s="14">
        <v>22</v>
      </c>
      <c r="G32" s="7" t="s">
        <v>41</v>
      </c>
      <c r="H32" s="5">
        <f>B22/(B13/B19)</f>
        <v>6.0828843332477733</v>
      </c>
      <c r="I32" s="5">
        <f>C22/(C13/C19)</f>
        <v>6.5480903947659534</v>
      </c>
      <c r="J32" s="31" t="str">
        <f>"=B22/(B13/B19)"</f>
        <v>=B22/(B13/B19)</v>
      </c>
      <c r="K32" s="8"/>
      <c r="L32" s="8"/>
      <c r="M32" s="8"/>
      <c r="N32" s="8"/>
    </row>
    <row r="33" spans="1:14">
      <c r="F33" s="14">
        <v>23</v>
      </c>
      <c r="G33" s="7" t="s">
        <v>42</v>
      </c>
      <c r="H33" s="8">
        <f>1/H31</f>
        <v>4.6367390251060105E-2</v>
      </c>
      <c r="I33" s="8">
        <f>1/I31</f>
        <v>3.5511035905137447E-2</v>
      </c>
      <c r="J33" s="31" t="str">
        <f>"=1/L31"</f>
        <v>=1/L31</v>
      </c>
      <c r="K33" s="5"/>
      <c r="L33" s="5"/>
      <c r="M33" s="5"/>
      <c r="N33" s="5"/>
    </row>
    <row r="34" spans="1:14">
      <c r="A34" s="10" t="s">
        <v>51</v>
      </c>
      <c r="B34" s="10"/>
      <c r="C34" s="10"/>
      <c r="D34" s="10"/>
      <c r="F34" s="14">
        <v>24</v>
      </c>
      <c r="G34" s="7" t="s">
        <v>44</v>
      </c>
      <c r="H34" s="8">
        <f>(B20/B19)/B22</f>
        <v>2.4500672921242219E-2</v>
      </c>
      <c r="I34" s="8">
        <f>(C20/C19)/C22</f>
        <v>2.5295036517720918E-2</v>
      </c>
      <c r="J34" s="31" t="str">
        <f>"=(B20/B19)/B22"</f>
        <v>=(B20/B19)/B22</v>
      </c>
      <c r="K34" s="5"/>
      <c r="L34" s="5"/>
      <c r="M34" s="5"/>
      <c r="N34" s="5"/>
    </row>
    <row r="35" spans="1:14">
      <c r="A35" s="7" t="s">
        <v>43</v>
      </c>
      <c r="B35" s="7">
        <f>B20/B19</f>
        <v>4.1913301166369061</v>
      </c>
      <c r="C35" s="7">
        <f>C20/C19</f>
        <v>3.9809328471589178</v>
      </c>
      <c r="D35" s="7"/>
      <c r="F35" s="14">
        <v>25</v>
      </c>
      <c r="G35" s="7" t="s">
        <v>46</v>
      </c>
      <c r="H35" s="16">
        <f>H31/(H28*(1-B27))</f>
        <v>162.14150433673009</v>
      </c>
      <c r="I35" s="16">
        <f>I31/C30</f>
        <v>420.96029417130421</v>
      </c>
      <c r="J35" s="33" t="str">
        <f>"=L31/B30"</f>
        <v>=L31/B30</v>
      </c>
    </row>
    <row r="36" spans="1:14">
      <c r="A36" s="7" t="s">
        <v>45</v>
      </c>
      <c r="B36" s="7">
        <f t="shared" ref="B36:C36" si="0">B18/B19</f>
        <v>7.9320694502488509</v>
      </c>
      <c r="C36" s="7">
        <f t="shared" si="0"/>
        <v>5.5887268307505318</v>
      </c>
      <c r="D36" s="7"/>
      <c r="F36" s="14">
        <v>26</v>
      </c>
      <c r="G36" s="7" t="s">
        <v>57</v>
      </c>
      <c r="H36" s="16">
        <f>(B22*B19+B12-B3)/(B18+B16+B17+B21)</f>
        <v>17.917603446571551</v>
      </c>
      <c r="I36" s="16">
        <f>(C22*C19+C12-C3)/(C18+C16+C17+C21)</f>
        <v>21.39584036106816</v>
      </c>
      <c r="J36" s="33" t="str">
        <f>"=(B22*B19+B12-B3)/(B18+B16+B17+B21)"</f>
        <v>=(B22*B19+B12-B3)/(B18+B16+B17+B21)</v>
      </c>
    </row>
    <row r="37" spans="1:14">
      <c r="A37" t="s">
        <v>66</v>
      </c>
      <c r="B37" s="2">
        <f>B18+B16+B17</f>
        <v>22959</v>
      </c>
      <c r="C37" s="2">
        <f>C18+C16+C17</f>
        <v>16698</v>
      </c>
      <c r="D37" s="2"/>
      <c r="F37" s="14">
        <v>27</v>
      </c>
      <c r="G37" s="7" t="s">
        <v>52</v>
      </c>
      <c r="H37" s="8">
        <f>B20/B18</f>
        <v>0.52840310374556954</v>
      </c>
      <c r="I37" s="8">
        <f>C20/C18</f>
        <v>0.71231480222916954</v>
      </c>
      <c r="J37" s="31" t="str">
        <f>"=B20/B18"</f>
        <v>=B20/B18</v>
      </c>
    </row>
    <row r="38" spans="1:14">
      <c r="G38" s="7"/>
    </row>
    <row r="39" spans="1:14">
      <c r="G39" s="11" t="s">
        <v>63</v>
      </c>
    </row>
    <row r="40" spans="1:14">
      <c r="F40" s="14">
        <v>5</v>
      </c>
      <c r="G40" s="7" t="s">
        <v>15</v>
      </c>
      <c r="H40" s="5">
        <f>H9</f>
        <v>0.59332044083552171</v>
      </c>
      <c r="I40" s="5">
        <f>I9</f>
        <v>0.63819227646460142</v>
      </c>
      <c r="J40" s="31" t="str">
        <f>"=B12/B9"</f>
        <v>=B12/B9</v>
      </c>
    </row>
    <row r="41" spans="1:14">
      <c r="F41" s="14">
        <v>27</v>
      </c>
      <c r="G41" s="7" t="s">
        <v>52</v>
      </c>
      <c r="H41" s="5">
        <f>H37</f>
        <v>0.52840310374556954</v>
      </c>
      <c r="I41" s="5">
        <f>I37</f>
        <v>0.71231480222916954</v>
      </c>
      <c r="J41" s="31" t="str">
        <f>"=B20/B18"</f>
        <v>=B20/B18</v>
      </c>
    </row>
    <row r="42" spans="1:14">
      <c r="F42" s="14">
        <v>28</v>
      </c>
      <c r="G42" s="7" t="s">
        <v>64</v>
      </c>
      <c r="H42" s="12">
        <f>((1-B27)*H28)/(1-((1-B27)*H28))</f>
        <v>0.15341944933543167</v>
      </c>
      <c r="I42" s="12">
        <f>((1-C27)*I28)/(1-((1-C27)*I28))</f>
        <v>7.1691083072233042E-2</v>
      </c>
      <c r="J42" s="31" t="str">
        <f>"=((1-C27)*M28)/(1-((1-C27)*M28))"</f>
        <v>=((1-C27)*M28)/(1-((1-C27)*M28))</v>
      </c>
    </row>
    <row r="43" spans="1:14">
      <c r="G43" s="7"/>
    </row>
    <row r="45" spans="1:14">
      <c r="G45" s="11" t="s">
        <v>3</v>
      </c>
      <c r="H45" s="17">
        <f>((B37-C37)/C37)/((B14-C14)/C14)</f>
        <v>2.7669815649625793</v>
      </c>
      <c r="I45" s="17"/>
      <c r="J45" s="33" t="str">
        <f>"=((B37-C37)/C37)/((B14-C14)/C14)"</f>
        <v>=((B37-C37)/C37)/((B14-C14)/C14)</v>
      </c>
    </row>
    <row r="46" spans="1:14">
      <c r="G46" s="11" t="s">
        <v>6</v>
      </c>
      <c r="H46" s="17">
        <f>((B36-C36)/C36)/((B37-C37)/C37)</f>
        <v>1.1182622435211451</v>
      </c>
      <c r="I46" s="17"/>
      <c r="J46" s="33" t="str">
        <f>"=((B36-C36)/C36)/((B37-C37)/C37)"</f>
        <v>=((B36-C36)/C36)/((B37-C37)/C37)</v>
      </c>
    </row>
    <row r="47" spans="1:14">
      <c r="G47" s="11" t="s">
        <v>9</v>
      </c>
      <c r="H47" s="17">
        <f>H45*H46</f>
        <v>3.0942110126167033</v>
      </c>
      <c r="I47" s="17"/>
      <c r="J47" s="33" t="str">
        <f>"=H39*H40"</f>
        <v>=H39*H40</v>
      </c>
    </row>
  </sheetData>
  <phoneticPr fontId="4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2022-07-17T22:36:02Z</dcterms:modified>
</cp:coreProperties>
</file>