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hcr\Desktop\"/>
    </mc:Choice>
  </mc:AlternateContent>
  <xr:revisionPtr revIDLastSave="0" documentId="13_ncr:1_{355F4016-863F-41EF-9F6E-EF07C04DEEFF}" xr6:coauthVersionLast="47" xr6:coauthVersionMax="47" xr10:uidLastSave="{00000000-0000-0000-0000-000000000000}"/>
  <bookViews>
    <workbookView xWindow="22932" yWindow="-8508" windowWidth="30936" windowHeight="16896" xr2:uid="{E091C48F-99C7-4BB3-887C-775DC2F36C1C}"/>
  </bookViews>
  <sheets>
    <sheet name="Calculate" sheetId="2" r:id="rId1"/>
    <sheet name="FINPLAN results" sheetId="3" r:id="rId2"/>
    <sheet name="Forecast error" sheetId="7" r:id="rId3"/>
    <sheet name="Sensitivity" sheetId="6" r:id="rId4"/>
    <sheet name="Ch21 update" sheetId="4" r:id="rId5"/>
    <sheet name="Parameters (2017)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3" i="6" l="1"/>
  <c r="B141" i="6"/>
  <c r="B95" i="6"/>
  <c r="B69" i="6"/>
  <c r="B50" i="6"/>
  <c r="B23" i="6"/>
  <c r="C31" i="7"/>
  <c r="C34" i="7"/>
  <c r="D18" i="2"/>
  <c r="D17" i="2"/>
  <c r="D16" i="2"/>
  <c r="D15" i="2"/>
  <c r="D14" i="2"/>
  <c r="E7" i="2"/>
  <c r="D7" i="2"/>
  <c r="D6" i="2"/>
  <c r="D5" i="2"/>
  <c r="E18" i="2"/>
  <c r="E15" i="2"/>
  <c r="E16" i="2"/>
  <c r="E14" i="2"/>
  <c r="E5" i="2"/>
  <c r="E6" i="2"/>
  <c r="F83" i="6" l="1"/>
  <c r="F85" i="6" s="1"/>
  <c r="F56" i="6"/>
  <c r="D21" i="7" l="1"/>
  <c r="D22" i="7"/>
  <c r="D24" i="7"/>
  <c r="D25" i="7"/>
  <c r="D27" i="7"/>
  <c r="D28" i="7"/>
  <c r="D29" i="7"/>
  <c r="D30" i="7"/>
  <c r="D31" i="7"/>
  <c r="D33" i="7"/>
  <c r="D34" i="7"/>
  <c r="D35" i="7"/>
  <c r="D20" i="7"/>
  <c r="D6" i="7"/>
  <c r="D7" i="7"/>
  <c r="D9" i="7"/>
  <c r="D10" i="7"/>
  <c r="D11" i="7"/>
  <c r="D14" i="7"/>
  <c r="D15" i="7"/>
  <c r="D5" i="7"/>
  <c r="F58" i="6" l="1"/>
  <c r="D4" i="4" l="1"/>
  <c r="D7" i="4"/>
  <c r="D6" i="4"/>
  <c r="F18" i="2" l="1"/>
  <c r="C37" i="5" l="1"/>
  <c r="C33" i="5"/>
  <c r="C26" i="5"/>
  <c r="C25" i="5"/>
  <c r="C24" i="5"/>
  <c r="C23" i="5"/>
  <c r="D23" i="4" l="1"/>
  <c r="D24" i="4"/>
  <c r="C22" i="4" l="1"/>
  <c r="B22" i="4"/>
  <c r="D3" i="4"/>
  <c r="D5" i="4"/>
  <c r="D9" i="4"/>
  <c r="D10" i="4"/>
  <c r="D13" i="4"/>
  <c r="D14" i="4"/>
  <c r="D15" i="4"/>
  <c r="D17" i="4"/>
  <c r="D18" i="4"/>
  <c r="D20" i="4"/>
  <c r="D21" i="4"/>
  <c r="D26" i="4"/>
  <c r="D27" i="4"/>
  <c r="D28" i="4"/>
  <c r="D2" i="4"/>
  <c r="D22" i="4" l="1"/>
  <c r="C18" i="2" l="1"/>
  <c r="C16" i="2"/>
  <c r="C6" i="2"/>
  <c r="C14" i="2"/>
  <c r="C4" i="2" s="1"/>
  <c r="C23" i="2" l="1"/>
  <c r="C7" i="2"/>
  <c r="C5" i="2"/>
  <c r="C21" i="2"/>
  <c r="C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tc={6FCABBCD-1C68-4B51-82FD-975C751E8F8C}</author>
    <author>葉玟其</author>
  </authors>
  <commentList>
    <comment ref="D1" authorId="0" shapeId="0" xr:uid="{6FCABBCD-1C68-4B51-82FD-975C751E8F8C}">
      <text>
        <t>[Threaded comment]
Your version of Excel allows you to read this threaded comment; however, any edits to it will get removed if the file is opened in a newer version of Excel. Learn more: https://go.microsoft.com/fwlink/?linkid=870924
Comment:
    Use those numbers and put them into FINPLAN.
1) View
2) Macro
3) Run forecast results</t>
      </text>
    </comment>
    <comment ref="C4" authorId="1" shapeId="0" xr:uid="{E8DD9E5B-F669-4B2D-AF6D-88C6F9214897}">
      <text>
        <r>
          <rPr>
            <b/>
            <sz val="9"/>
            <color indexed="81"/>
            <rFont val="Tahoma"/>
            <family val="2"/>
          </rPr>
          <t>Retention rate * (net income / equity)
=
Retention rate * ROE</t>
        </r>
      </text>
    </comment>
    <comment ref="C6" authorId="1" shapeId="0" xr:uid="{29FBD1B3-7D9E-4455-823D-D730AB358950}">
      <text>
        <r>
          <rPr>
            <b/>
            <sz val="9"/>
            <color indexed="81"/>
            <rFont val="Tahoma"/>
            <family val="2"/>
          </rPr>
          <t>(Total assets - current assets)/sales</t>
        </r>
      </text>
    </comment>
    <comment ref="C14" authorId="1" shapeId="0" xr:uid="{288BEA5A-2E97-4FFA-BD96-06177E4E8AE1}">
      <text>
        <r>
          <rPr>
            <b/>
            <sz val="9"/>
            <color indexed="81"/>
            <rFont val="Tahoma"/>
            <family val="2"/>
          </rPr>
          <t>1 - (dividend payout / net income)
=
1 - payout ratio</t>
        </r>
      </text>
    </comment>
    <comment ref="C15" authorId="1" shapeId="0" xr:uid="{3BCE5B64-F9DD-4ACC-B0EF-D9F991ECADE6}">
      <text>
        <r>
          <rPr>
            <b/>
            <sz val="9"/>
            <color indexed="81"/>
            <rFont val="Tahoma"/>
            <family val="2"/>
          </rPr>
          <t>Earnings before provision for taxes on income / Provision for taxes on income</t>
        </r>
      </text>
    </comment>
    <comment ref="C16" authorId="1" shapeId="0" xr:uid="{24D6AED8-E204-4C0D-A9A0-9BD9D47223B8}">
      <text>
        <r>
          <rPr>
            <b/>
            <sz val="9"/>
            <color indexed="81"/>
            <rFont val="Tahoma"/>
            <family val="2"/>
          </rPr>
          <t>Interest expense, net of portion capitalized / long-term debt</t>
        </r>
      </text>
    </comment>
    <comment ref="C18" authorId="1" shapeId="0" xr:uid="{BA68E30F-C339-4882-8761-07EBC8D53EDF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21" authorId="1" shapeId="0" xr:uid="{2F4A3F55-881B-44A4-ADFA-D0F2AF5DA035}">
      <text>
        <r>
          <rPr>
            <b/>
            <sz val="9"/>
            <color indexed="81"/>
            <rFont val="Tahoma"/>
            <family val="2"/>
          </rPr>
          <t>Long-term debt / Total shareholders’ equity</t>
        </r>
      </text>
    </comment>
    <comment ref="C23" authorId="1" shapeId="0" xr:uid="{45AF0994-B3D0-4F76-A599-0CE45466FFCD}">
      <text>
        <r>
          <rPr>
            <b/>
            <sz val="9"/>
            <color indexed="81"/>
            <rFont val="Tahoma"/>
            <family val="2"/>
          </rPr>
          <t>Market price per share / Diluted net earnings per share
=
Market price per share / (net income / number of outstandings)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tc={C16F29A2-4DEF-4CC3-8C79-21D40077E55C}</author>
    <author>tc={716FA449-C131-48B4-AF75-545A18327A1C}</author>
  </authors>
  <commentList>
    <comment ref="C23" authorId="0" shapeId="0" xr:uid="{C16F29A2-4DEF-4CC3-8C79-21D40077E55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project 1</t>
      </text>
    </comment>
    <comment ref="C24" authorId="1" shapeId="0" xr:uid="{716FA449-C131-48B4-AF75-545A18327A1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project 1 (calculated as interest exp/long-term debt)</t>
      </text>
    </comment>
  </commentList>
</comments>
</file>

<file path=xl/sharedStrings.xml><?xml version="1.0" encoding="utf-8"?>
<sst xmlns="http://schemas.openxmlformats.org/spreadsheetml/2006/main" count="394" uniqueCount="180">
  <si>
    <t>The number of years to be simulated</t>
  </si>
  <si>
    <t>Current Assets as a Percent of Sales</t>
  </si>
  <si>
    <t>Current Payables as a Percent of Sales</t>
  </si>
  <si>
    <t>Preferred Stock</t>
  </si>
  <si>
    <t>Preferred Dividends</t>
  </si>
  <si>
    <t xml:space="preserve">Long Term Debt Repayment (Reduction) </t>
  </si>
  <si>
    <t>Retained Earnings in Previous Period</t>
  </si>
  <si>
    <t>Retention Rate</t>
  </si>
  <si>
    <t>Expected Interest Rate on New Debt</t>
  </si>
  <si>
    <t>Operating Income as a Percentage of Sales</t>
  </si>
  <si>
    <t>Underwriting Cost of Debt</t>
  </si>
  <si>
    <t>Underwriting Cost of Equity</t>
  </si>
  <si>
    <t>Ratio of Debt to Equity</t>
  </si>
  <si>
    <t>Number of Common Shares Outstanding in Previous Period</t>
  </si>
  <si>
    <t>Price-Earnings Ratio</t>
  </si>
  <si>
    <t>2016 from book</t>
  </si>
  <si>
    <t>2016 from Wen-Chi</t>
  </si>
  <si>
    <t>Pro forma Income Statement</t>
  </si>
  <si>
    <t>Sales</t>
  </si>
  <si>
    <t>Operating income</t>
  </si>
  <si>
    <t>Interest expense</t>
  </si>
  <si>
    <t>Underwriting commission -- debt</t>
  </si>
  <si>
    <t>Income before taxes</t>
  </si>
  <si>
    <t>Taxes</t>
  </si>
  <si>
    <t>Net income</t>
  </si>
  <si>
    <t>Preferred dividends</t>
  </si>
  <si>
    <t>Available for common dividends</t>
  </si>
  <si>
    <t>Common dividends</t>
  </si>
  <si>
    <t>Debt repayments</t>
  </si>
  <si>
    <t>Actl funds needed for investment</t>
  </si>
  <si>
    <t>Pro forma Balance Sheet</t>
  </si>
  <si>
    <t>Assets</t>
  </si>
  <si>
    <t>Current assets</t>
  </si>
  <si>
    <t>Fixed assets</t>
  </si>
  <si>
    <t>Total assets</t>
  </si>
  <si>
    <t>Liabilities and net worth</t>
  </si>
  <si>
    <t>Current liabilities</t>
  </si>
  <si>
    <t>Long term debt</t>
  </si>
  <si>
    <t>Preferred stock</t>
  </si>
  <si>
    <t>Common stock</t>
  </si>
  <si>
    <t>Retained earnings</t>
  </si>
  <si>
    <t>Total liabilities and net worth</t>
  </si>
  <si>
    <t>Computed DBT/EQ</t>
  </si>
  <si>
    <t>Int. rate on total debt</t>
  </si>
  <si>
    <t>Per share data</t>
  </si>
  <si>
    <t>Earnings</t>
  </si>
  <si>
    <t>Dividends</t>
  </si>
  <si>
    <t>Price</t>
  </si>
  <si>
    <t>ROE</t>
  </si>
  <si>
    <t>EBIT</t>
  </si>
  <si>
    <t>Non-current Assets as a Percent of Sales</t>
  </si>
  <si>
    <t>Average Tax Rate</t>
  </si>
  <si>
    <t>Forecast</t>
  </si>
  <si>
    <t>Actual</t>
  </si>
  <si>
    <t>Error</t>
  </si>
  <si>
    <t>Parameter</t>
  </si>
  <si>
    <t>Parameter Description</t>
  </si>
  <si>
    <t>JNJ 2017 (in millions)</t>
  </si>
  <si>
    <t>Notes</t>
  </si>
  <si>
    <t>Sales t</t>
  </si>
  <si>
    <t>CA t</t>
  </si>
  <si>
    <t>Current Assets</t>
  </si>
  <si>
    <t>FA t</t>
  </si>
  <si>
    <t>Fixed Assets</t>
  </si>
  <si>
    <t>A t</t>
  </si>
  <si>
    <t>Total Assets</t>
  </si>
  <si>
    <t>CLt</t>
  </si>
  <si>
    <t>Current Payables</t>
  </si>
  <si>
    <t>NF t</t>
  </si>
  <si>
    <t>Needed Funds</t>
  </si>
  <si>
    <t>EBIT t</t>
  </si>
  <si>
    <t>NL t</t>
  </si>
  <si>
    <t>New Debt</t>
  </si>
  <si>
    <t>NS t</t>
  </si>
  <si>
    <t>New Stock</t>
  </si>
  <si>
    <t>(6,358) repurchased</t>
  </si>
  <si>
    <t>L t</t>
  </si>
  <si>
    <t>Total Debt</t>
  </si>
  <si>
    <t>S t</t>
  </si>
  <si>
    <t>Common Stock</t>
  </si>
  <si>
    <t>par value $1 per share</t>
  </si>
  <si>
    <t>R t</t>
  </si>
  <si>
    <t>Retained Earnings</t>
  </si>
  <si>
    <t>i t</t>
  </si>
  <si>
    <t>Interest Rate on Debt</t>
  </si>
  <si>
    <t>given</t>
  </si>
  <si>
    <t>EAFCD t</t>
  </si>
  <si>
    <t>Earnings Available for Common Dividends</t>
  </si>
  <si>
    <t>CMDIV t</t>
  </si>
  <si>
    <t>Common Dividends</t>
  </si>
  <si>
    <t>NUMCS t</t>
  </si>
  <si>
    <t>Number of Common Shares Outstanding</t>
  </si>
  <si>
    <t>NEWCS t</t>
  </si>
  <si>
    <t>New Common Shares Issued</t>
  </si>
  <si>
    <t>P t</t>
  </si>
  <si>
    <t>Price per Share</t>
  </si>
  <si>
    <t>EPS t</t>
  </si>
  <si>
    <t>Earnings per Share</t>
  </si>
  <si>
    <t>DPS t</t>
  </si>
  <si>
    <t>Dividends per Share</t>
  </si>
  <si>
    <t>Sales t-1</t>
  </si>
  <si>
    <t>Sales in Previous Period</t>
  </si>
  <si>
    <t>Gsales t</t>
  </si>
  <si>
    <t>Growth in Sales</t>
  </si>
  <si>
    <t>RCA t</t>
  </si>
  <si>
    <t>RFA t</t>
  </si>
  <si>
    <t>Fixed Assets as a Percent of Sales</t>
  </si>
  <si>
    <t>RCL t</t>
  </si>
  <si>
    <t>Current Payables as a Pecent of Sales</t>
  </si>
  <si>
    <t>PFDSK t</t>
  </si>
  <si>
    <t>PFDIVt</t>
  </si>
  <si>
    <t>Lt-1</t>
  </si>
  <si>
    <t>Debt in Previous Period</t>
  </si>
  <si>
    <t>LR t</t>
  </si>
  <si>
    <t>Debt Repayment</t>
  </si>
  <si>
    <t>Short term+longterm</t>
  </si>
  <si>
    <t>St-1</t>
  </si>
  <si>
    <t>Common Stock in Preious Period</t>
  </si>
  <si>
    <t>Rt-1</t>
  </si>
  <si>
    <t>bt</t>
  </si>
  <si>
    <t>1-Payout Ratio</t>
  </si>
  <si>
    <t>Tt</t>
  </si>
  <si>
    <t>it-1</t>
  </si>
  <si>
    <t>Averge Interest Rate in Previous Period</t>
  </si>
  <si>
    <t>iet</t>
  </si>
  <si>
    <t>average of current and prior period</t>
  </si>
  <si>
    <t>Operating Income as a Percent of Sales</t>
  </si>
  <si>
    <t>U t</t>
  </si>
  <si>
    <t>Underwritng cost of Debt</t>
  </si>
  <si>
    <t>Ut</t>
  </si>
  <si>
    <t>Kt</t>
  </si>
  <si>
    <t>NUMCSt-1</t>
  </si>
  <si>
    <t>mt</t>
  </si>
  <si>
    <t>From Project 1</t>
  </si>
  <si>
    <t>Note</t>
  </si>
  <si>
    <t>calculated from project 1, = current asset / sales</t>
  </si>
  <si>
    <t>calculated from project 1, = (total asset - current asset) / sales</t>
  </si>
  <si>
    <t>calculated from project 1, = current liabilities / sales</t>
  </si>
  <si>
    <t>from financial statement (cash flow)</t>
  </si>
  <si>
    <t>from financial statement (balance sheet)</t>
  </si>
  <si>
    <t>calculated from project 1, = Interest Expense / Long-term debt</t>
  </si>
  <si>
    <t>From project 1</t>
  </si>
  <si>
    <t>Assigned by professor</t>
  </si>
  <si>
    <t>Ratio of Debt to Equity (5% up and 5% down)</t>
  </si>
  <si>
    <t xml:space="preserve">Dividend Payout Ratio </t>
  </si>
  <si>
    <t>from project 1, =(dividend payout/net income)</t>
  </si>
  <si>
    <t>Sustainable Growth Rate, Method 1</t>
  </si>
  <si>
    <t>from project 1, =(net income/total equity)</t>
  </si>
  <si>
    <t>from project 1</t>
  </si>
  <si>
    <t>1. Debt to Equity 5% higher</t>
  </si>
  <si>
    <t>2. Debt to Equity 5% lower</t>
  </si>
  <si>
    <t>Assigned by professor, decide by students based on average interest rate ( a little higher)</t>
  </si>
  <si>
    <t>Sustainable Growth Rate</t>
  </si>
  <si>
    <t>PE Ratio Changed</t>
  </si>
  <si>
    <t>Payout ratio</t>
  </si>
  <si>
    <t>Debt to equity</t>
  </si>
  <si>
    <t>Interest rate forecast</t>
  </si>
  <si>
    <t>未來要補的sensitivity test: (Dilute effect可以留給我自己的論文)</t>
  </si>
  <si>
    <t>Debt to Equity Changed</t>
  </si>
  <si>
    <t>Forecast error</t>
  </si>
  <si>
    <t>Mean absolute deviation error for forecast variables</t>
  </si>
  <si>
    <t>5. Growth rate 2% higher</t>
  </si>
  <si>
    <t>6. Growth rate 2% lower</t>
  </si>
  <si>
    <t>calculated from project 1, Retention Rate = 1 - (Dividend payout / Net Income)</t>
  </si>
  <si>
    <t>Net Sales at t-1=2020</t>
  </si>
  <si>
    <t>from earnings statement, Tax Rate = Tax expense / Earnings before Tax</t>
  </si>
  <si>
    <t>Average interest rate+0.005</t>
  </si>
  <si>
    <t>pro forma 2021</t>
  </si>
  <si>
    <t>actual 2021</t>
  </si>
  <si>
    <t>Debt to equity ratio, from project 1</t>
  </si>
  <si>
    <t>From earnings statement, or calculated by net earnings / shares outstanding</t>
  </si>
  <si>
    <t>From project 1 input, dividend payout / shares outstanding</t>
  </si>
  <si>
    <t>From project 1 input, price of the last trading day</t>
  </si>
  <si>
    <t>interest rate on total debt</t>
  </si>
  <si>
    <t>Retention Rate (5% high and 5% low for payout ratio)</t>
  </si>
  <si>
    <t>Sustainable Growth Rate (2% high and 2% low for growth rate)</t>
  </si>
  <si>
    <t>3. Retention Rate 5% higher</t>
  </si>
  <si>
    <t>Average Interest Rate</t>
  </si>
  <si>
    <t>Long Term Debt</t>
  </si>
  <si>
    <t>4. Retention Rate 5%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</si>
</sst>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#,###.000"/>
    <numFmt numFmtId="166" formatCode="###0.00"/>
    <numFmt numFmtId="167" formatCode="###0.0000"/>
    <numFmt numFmtId="168" formatCode="0.0%"/>
    <numFmt numFmtId="169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6" fillId="0" borderId="0" xfId="0" applyFont="1"/>
    <xf numFmtId="166" fontId="0" fillId="0" borderId="0" xfId="0" applyNumberFormat="1"/>
    <xf numFmtId="0" fontId="7" fillId="0" borderId="0" xfId="0" applyFont="1"/>
    <xf numFmtId="166" fontId="7" fillId="0" borderId="0" xfId="0" applyNumberFormat="1" applyFont="1"/>
    <xf numFmtId="167" fontId="0" fillId="0" borderId="0" xfId="0" applyNumberFormat="1"/>
    <xf numFmtId="0" fontId="3" fillId="0" borderId="0" xfId="0" applyFont="1"/>
    <xf numFmtId="166" fontId="3" fillId="0" borderId="0" xfId="0" applyNumberFormat="1" applyFont="1"/>
    <xf numFmtId="164" fontId="0" fillId="0" borderId="0" xfId="0" applyNumberFormat="1"/>
    <xf numFmtId="167" fontId="8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10" fontId="10" fillId="0" borderId="0" xfId="3" applyNumberFormat="1" applyFont="1"/>
    <xf numFmtId="2" fontId="0" fillId="0" borderId="0" xfId="0" applyNumberFormat="1"/>
    <xf numFmtId="168" fontId="10" fillId="0" borderId="0" xfId="3" applyNumberFormat="1" applyFo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11" fillId="0" borderId="0" xfId="0" applyNumberFormat="1" applyFont="1"/>
    <xf numFmtId="10" fontId="0" fillId="0" borderId="0" xfId="3" applyNumberFormat="1" applyFont="1"/>
    <xf numFmtId="3" fontId="12" fillId="0" borderId="0" xfId="0" applyNumberFormat="1" applyFont="1"/>
    <xf numFmtId="9" fontId="0" fillId="0" borderId="0" xfId="3" applyFont="1"/>
    <xf numFmtId="9" fontId="11" fillId="0" borderId="0" xfId="3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164" fontId="10" fillId="0" borderId="0" xfId="0" applyNumberFormat="1" applyFont="1"/>
    <xf numFmtId="3" fontId="10" fillId="0" borderId="0" xfId="0" applyNumberFormat="1" applyFont="1"/>
    <xf numFmtId="4" fontId="10" fillId="0" borderId="0" xfId="0" applyNumberFormat="1" applyFont="1"/>
    <xf numFmtId="1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3" fillId="2" borderId="0" xfId="0" applyFont="1" applyFill="1" applyAlignment="1">
      <alignment vertical="top"/>
    </xf>
    <xf numFmtId="0" fontId="10" fillId="0" borderId="0" xfId="0" applyFont="1" applyAlignment="1">
      <alignment horizontal="center"/>
    </xf>
    <xf numFmtId="167" fontId="0" fillId="2" borderId="0" xfId="0" applyNumberFormat="1" applyFill="1"/>
    <xf numFmtId="167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8" fillId="0" borderId="0" xfId="0" applyFont="1" applyAlignment="1">
      <alignment horizontal="center"/>
    </xf>
    <xf numFmtId="164" fontId="10" fillId="2" borderId="0" xfId="0" applyNumberFormat="1" applyFont="1" applyFill="1"/>
    <xf numFmtId="164" fontId="0" fillId="2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/>
    </xf>
    <xf numFmtId="10" fontId="0" fillId="0" borderId="0" xfId="3" applyNumberFormat="1" applyFont="1" applyAlignment="1">
      <alignment horizontal="right"/>
    </xf>
    <xf numFmtId="164" fontId="10" fillId="0" borderId="0" xfId="0" applyNumberFormat="1" applyFont="1" applyFill="1"/>
    <xf numFmtId="0" fontId="8" fillId="0" borderId="0" xfId="0" applyFont="1" applyFill="1"/>
    <xf numFmtId="0" fontId="0" fillId="0" borderId="0" xfId="0" applyFont="1" applyFill="1" applyAlignment="1">
      <alignment horizontal="right"/>
    </xf>
    <xf numFmtId="1" fontId="10" fillId="0" borderId="0" xfId="0" applyNumberFormat="1" applyFont="1" applyAlignment="1">
      <alignment horizontal="right"/>
    </xf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1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玟其 葉" id="{5EC8B19D-D579-4872-8D5A-B0991448B29D}" userId="03b0d1ce0f65efb4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1-07-21T23:39:13.38" personId="{5EC8B19D-D579-4872-8D5A-B0991448B29D}" id="{6FCABBCD-1C68-4B51-82FD-975C751E8F8C}">
    <text>Use those numbers and put them into FINPLAN.
1) View
2) Macro
3) Run forecast results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3" dT="2020-11-02T20:01:18.63" personId="{5EC8B19D-D579-4872-8D5A-B0991448B29D}" id="{C16F29A2-4DEF-4CC3-8C79-21D40077E55C}">
    <text>From project 1</text>
  </threadedComment>
  <threadedComment ref="C24" dT="2020-11-02T20:03:15.12" personId="{5EC8B19D-D579-4872-8D5A-B0991448B29D}" id="{716FA449-C131-48B4-AF75-545A18327A1C}">
    <text>From project 1 (calculated as interest exp/long-term debt)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4F57-9FD5-48C5-93AE-E462867BD71A}">
  <dimension ref="A1:F28"/>
  <sheetViews>
    <sheetView tabSelected="1" zoomScale="90" zoomScaleNormal="90" workbookViewId="0">
      <selection activeCell="D2" sqref="D2"/>
    </sheetView>
  </sheetViews>
  <sheetFormatPr defaultRowHeight="14.5" x14ac:dyDescent="0.35"/>
  <cols>
    <col min="1" max="1" width="56" style="29" customWidth="1"/>
    <col min="2" max="2" width="20.08984375" hidden="1" customWidth="1"/>
    <col min="3" max="3" width="21.81640625" hidden="1" customWidth="1"/>
    <col min="4" max="4" width="22.54296875" style="84" customWidth="1"/>
    <col min="5" max="5" width="22.54296875" style="45" customWidth="1"/>
    <col min="6" max="6" width="77" style="45" customWidth="1"/>
  </cols>
  <sheetData>
    <row r="1" spans="1:6" x14ac:dyDescent="0.35">
      <c r="B1" s="1" t="s">
        <v>15</v>
      </c>
      <c r="C1" s="1" t="s">
        <v>16</v>
      </c>
      <c r="D1" s="80">
        <v>2020</v>
      </c>
      <c r="E1" s="72"/>
      <c r="F1" s="45" t="s">
        <v>134</v>
      </c>
    </row>
    <row r="2" spans="1:6" ht="15.5" x14ac:dyDescent="0.35">
      <c r="A2" s="2" t="s">
        <v>0</v>
      </c>
      <c r="B2" s="3">
        <v>4</v>
      </c>
      <c r="C2" s="3">
        <v>4</v>
      </c>
      <c r="D2" s="81">
        <v>4</v>
      </c>
      <c r="E2" s="51"/>
    </row>
    <row r="3" spans="1:6" x14ac:dyDescent="0.35">
      <c r="A3" s="46" t="s">
        <v>164</v>
      </c>
      <c r="B3" s="4">
        <v>71890</v>
      </c>
      <c r="C3" s="5">
        <v>71890</v>
      </c>
      <c r="D3" s="82">
        <v>82584</v>
      </c>
      <c r="E3" s="52"/>
      <c r="F3" s="45" t="s">
        <v>141</v>
      </c>
    </row>
    <row r="4" spans="1:6" x14ac:dyDescent="0.35">
      <c r="A4" s="58" t="s">
        <v>175</v>
      </c>
      <c r="B4" s="11">
        <v>0.12670602729643674</v>
      </c>
      <c r="C4" s="1">
        <f>C14*(16540/70418)</f>
        <v>0.11245704223351984</v>
      </c>
      <c r="D4" s="70">
        <v>6.6895287461677042E-2</v>
      </c>
      <c r="E4" s="53"/>
      <c r="F4" s="45" t="s">
        <v>141</v>
      </c>
    </row>
    <row r="5" spans="1:6" x14ac:dyDescent="0.35">
      <c r="A5" s="46" t="s">
        <v>1</v>
      </c>
      <c r="B5" s="7">
        <v>0.90459999999999996</v>
      </c>
      <c r="C5" s="1">
        <f>65032/C3</f>
        <v>0.9046042565029907</v>
      </c>
      <c r="D5" s="83">
        <f>51237/D3</f>
        <v>0.6204228421970357</v>
      </c>
      <c r="E5" s="54" t="str">
        <f>"=51237/D3"</f>
        <v>=51237/D3</v>
      </c>
      <c r="F5" s="45" t="s">
        <v>135</v>
      </c>
    </row>
    <row r="6" spans="1:6" x14ac:dyDescent="0.35">
      <c r="A6" s="46" t="s">
        <v>50</v>
      </c>
      <c r="B6" s="7">
        <v>1.0596000000000001</v>
      </c>
      <c r="C6" s="1">
        <f>(141208-65032)/C3</f>
        <v>1.0596188621505078</v>
      </c>
      <c r="D6" s="83">
        <f>(174894-51237)/D3</f>
        <v>1.4973481546062191</v>
      </c>
      <c r="E6" s="54" t="str">
        <f>"=(174894-51237)/D3"</f>
        <v>=(174894-51237)/D3</v>
      </c>
      <c r="F6" s="45" t="s">
        <v>136</v>
      </c>
    </row>
    <row r="7" spans="1:6" x14ac:dyDescent="0.35">
      <c r="A7" s="46" t="s">
        <v>2</v>
      </c>
      <c r="B7" s="7">
        <v>0.36559999999999998</v>
      </c>
      <c r="C7" s="1">
        <f>26287/C3</f>
        <v>0.36565586312421755</v>
      </c>
      <c r="D7" s="83">
        <f>42493/D3</f>
        <v>0.51454276857502668</v>
      </c>
      <c r="E7" s="54" t="str">
        <f>"= 42493/D3"</f>
        <v>= 42493/D3</v>
      </c>
      <c r="F7" s="45" t="s">
        <v>137</v>
      </c>
    </row>
    <row r="8" spans="1:6" x14ac:dyDescent="0.35">
      <c r="A8" s="46" t="s">
        <v>3</v>
      </c>
      <c r="B8" s="8">
        <v>0</v>
      </c>
      <c r="C8" s="1">
        <v>0</v>
      </c>
      <c r="D8" s="84">
        <v>0</v>
      </c>
    </row>
    <row r="9" spans="1:6" x14ac:dyDescent="0.35">
      <c r="A9" s="46" t="s">
        <v>4</v>
      </c>
      <c r="B9" s="4">
        <v>0</v>
      </c>
      <c r="C9" s="1">
        <v>0</v>
      </c>
      <c r="D9" s="84">
        <v>0</v>
      </c>
    </row>
    <row r="10" spans="1:6" s="29" customFormat="1" x14ac:dyDescent="0.35">
      <c r="A10" s="46" t="s">
        <v>178</v>
      </c>
      <c r="B10" s="8">
        <v>22442</v>
      </c>
      <c r="C10" s="73">
        <v>22442</v>
      </c>
      <c r="D10" s="49">
        <v>32635</v>
      </c>
      <c r="E10" s="55"/>
      <c r="F10" s="59" t="s">
        <v>141</v>
      </c>
    </row>
    <row r="11" spans="1:6" s="29" customFormat="1" x14ac:dyDescent="0.35">
      <c r="A11" s="46" t="s">
        <v>5</v>
      </c>
      <c r="B11" s="7">
        <v>2223</v>
      </c>
      <c r="C11" s="73">
        <v>2223</v>
      </c>
      <c r="D11" s="49">
        <v>1064</v>
      </c>
      <c r="E11" s="55"/>
      <c r="F11" s="59" t="s">
        <v>138</v>
      </c>
    </row>
    <row r="12" spans="1:6" s="29" customFormat="1" x14ac:dyDescent="0.35">
      <c r="A12" s="46" t="s">
        <v>79</v>
      </c>
      <c r="B12" s="8">
        <v>3120</v>
      </c>
      <c r="C12" s="73">
        <v>3120</v>
      </c>
      <c r="D12" s="49">
        <v>3120</v>
      </c>
      <c r="E12" s="55"/>
      <c r="F12" s="59" t="s">
        <v>139</v>
      </c>
    </row>
    <row r="13" spans="1:6" s="29" customFormat="1" x14ac:dyDescent="0.35">
      <c r="A13" s="46" t="s">
        <v>82</v>
      </c>
      <c r="B13" s="8">
        <v>110551</v>
      </c>
      <c r="C13" s="73">
        <v>110551</v>
      </c>
      <c r="D13" s="49">
        <v>113890</v>
      </c>
      <c r="E13" s="55"/>
      <c r="F13" s="59" t="s">
        <v>139</v>
      </c>
    </row>
    <row r="14" spans="1:6" x14ac:dyDescent="0.35">
      <c r="A14" s="58" t="s">
        <v>174</v>
      </c>
      <c r="B14" s="7">
        <v>0.4788</v>
      </c>
      <c r="C14" s="1">
        <f>1-(8621/16540)</f>
        <v>0.47877871825876661</v>
      </c>
      <c r="D14" s="70">
        <f xml:space="preserve"> 1-(10481/14714)</f>
        <v>0.28768519777083046</v>
      </c>
      <c r="E14" s="53" t="str">
        <f>"= 1-(10481/14714)"</f>
        <v>= 1-(10481/14714)</v>
      </c>
      <c r="F14" s="45" t="s">
        <v>163</v>
      </c>
    </row>
    <row r="15" spans="1:6" s="29" customFormat="1" x14ac:dyDescent="0.35">
      <c r="A15" s="46" t="s">
        <v>51</v>
      </c>
      <c r="B15" s="7">
        <v>0.18</v>
      </c>
      <c r="C15" s="74">
        <f>3263/19803</f>
        <v>0.16477301418976922</v>
      </c>
      <c r="D15" s="48">
        <f>1783/16497</f>
        <v>0.10808025701642723</v>
      </c>
      <c r="E15" s="53" t="str">
        <f>"=1783/16497"</f>
        <v>=1783/16497</v>
      </c>
      <c r="F15" s="59" t="s">
        <v>165</v>
      </c>
    </row>
    <row r="16" spans="1:6" x14ac:dyDescent="0.35">
      <c r="A16" s="46" t="s">
        <v>177</v>
      </c>
      <c r="B16" s="7">
        <v>3.32E-2</v>
      </c>
      <c r="C16" s="1">
        <f>726/22442</f>
        <v>3.2350057927100974E-2</v>
      </c>
      <c r="D16" s="48">
        <f>201/32635</f>
        <v>6.1590317144170365E-3</v>
      </c>
      <c r="E16" s="53" t="str">
        <f>"= 201/32635"</f>
        <v>= 201/32635</v>
      </c>
      <c r="F16" s="45" t="s">
        <v>140</v>
      </c>
    </row>
    <row r="17" spans="1:6" x14ac:dyDescent="0.35">
      <c r="A17" s="47" t="s">
        <v>8</v>
      </c>
      <c r="B17" s="7">
        <v>3.6799999999999999E-2</v>
      </c>
      <c r="C17" s="7">
        <v>3.6799999999999999E-2</v>
      </c>
      <c r="D17" s="85">
        <f>D16+0.005</f>
        <v>1.1159031714417036E-2</v>
      </c>
      <c r="E17" s="56" t="s">
        <v>166</v>
      </c>
      <c r="F17" s="59" t="s">
        <v>151</v>
      </c>
    </row>
    <row r="18" spans="1:6" s="29" customFormat="1" x14ac:dyDescent="0.35">
      <c r="A18" s="47" t="s">
        <v>9</v>
      </c>
      <c r="B18" s="7">
        <v>0.28720000000000001</v>
      </c>
      <c r="C18" s="74">
        <f>(19803+726)/C3</f>
        <v>0.28556127416886912</v>
      </c>
      <c r="D18" s="48">
        <f>(16497+201)/D3</f>
        <v>0.20219412961348446</v>
      </c>
      <c r="E18" s="53" t="str">
        <f>"= (16497+201)/D3"</f>
        <v>= (16497+201)/D3</v>
      </c>
      <c r="F18" s="59" t="str">
        <f>"= (earnings before tax + interest expense, EBIT) / sales"</f>
        <v>= (earnings before tax + interest expense, EBIT) / sales</v>
      </c>
    </row>
    <row r="19" spans="1:6" x14ac:dyDescent="0.35">
      <c r="A19" s="46" t="s">
        <v>10</v>
      </c>
      <c r="B19" s="7">
        <v>0.02</v>
      </c>
      <c r="C19" s="7">
        <v>0.02</v>
      </c>
      <c r="D19" s="85">
        <v>0.02</v>
      </c>
      <c r="E19" s="56"/>
      <c r="F19" s="45" t="s">
        <v>142</v>
      </c>
    </row>
    <row r="20" spans="1:6" x14ac:dyDescent="0.35">
      <c r="A20" s="46" t="s">
        <v>11</v>
      </c>
      <c r="B20" s="7">
        <v>0.01</v>
      </c>
      <c r="C20" s="7">
        <v>0.01</v>
      </c>
      <c r="D20" s="85">
        <v>0.01</v>
      </c>
      <c r="E20" s="56"/>
      <c r="F20" s="45" t="s">
        <v>142</v>
      </c>
    </row>
    <row r="21" spans="1:6" s="29" customFormat="1" x14ac:dyDescent="0.35">
      <c r="A21" s="58" t="s">
        <v>143</v>
      </c>
      <c r="B21" s="7">
        <v>0.31869999999999998</v>
      </c>
      <c r="C21" s="74">
        <f>22442/70418</f>
        <v>0.31869692408191086</v>
      </c>
      <c r="D21" s="70">
        <v>1.7638989854293801</v>
      </c>
      <c r="E21" s="53"/>
      <c r="F21" s="59" t="s">
        <v>141</v>
      </c>
    </row>
    <row r="22" spans="1:6" x14ac:dyDescent="0.35">
      <c r="A22" s="46" t="s">
        <v>91</v>
      </c>
      <c r="B22" s="9">
        <v>2737.3</v>
      </c>
      <c r="C22" s="10">
        <v>2737.3</v>
      </c>
      <c r="D22" s="50">
        <v>2632.8</v>
      </c>
      <c r="E22" s="57"/>
      <c r="F22" s="45" t="s">
        <v>141</v>
      </c>
    </row>
    <row r="23" spans="1:6" x14ac:dyDescent="0.35">
      <c r="A23" s="47" t="s">
        <v>14</v>
      </c>
      <c r="B23" s="11">
        <v>19.074999999999999</v>
      </c>
      <c r="C23" s="1">
        <f>115.21/(16540/C22)</f>
        <v>19.066767412333736</v>
      </c>
      <c r="D23" s="48">
        <v>28.160259888541525</v>
      </c>
      <c r="E23" s="53"/>
      <c r="F23" s="45" t="s">
        <v>141</v>
      </c>
    </row>
    <row r="24" spans="1:6" x14ac:dyDescent="0.35">
      <c r="A24" s="47"/>
      <c r="B24" s="11"/>
      <c r="C24" s="1"/>
    </row>
    <row r="28" spans="1:6" x14ac:dyDescent="0.35">
      <c r="D28" s="83"/>
    </row>
  </sheetData>
  <phoneticPr fontId="14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5F61-3B37-47F6-B7DC-ECABAEC3F1D0}">
  <dimension ref="A1:F78"/>
  <sheetViews>
    <sheetView zoomScaleNormal="100" workbookViewId="0">
      <selection activeCell="A18" sqref="A18"/>
    </sheetView>
  </sheetViews>
  <sheetFormatPr defaultRowHeight="14.5" x14ac:dyDescent="0.35"/>
  <cols>
    <col min="1" max="1" width="33.1796875" customWidth="1"/>
    <col min="2" max="2" width="11.1796875" customWidth="1"/>
    <col min="3" max="3" width="12.54296875" customWidth="1"/>
    <col min="4" max="5" width="12.1796875" customWidth="1"/>
    <col min="6" max="6" width="12.6328125" customWidth="1"/>
  </cols>
  <sheetData>
    <row r="1" spans="1:6" x14ac:dyDescent="0.35">
      <c r="B1" s="12" t="s">
        <v>17</v>
      </c>
    </row>
    <row r="3" spans="1:6" x14ac:dyDescent="0.35">
      <c r="B3">
        <v>2020</v>
      </c>
      <c r="C3">
        <v>2021</v>
      </c>
      <c r="D3">
        <v>2022</v>
      </c>
      <c r="E3">
        <v>2023</v>
      </c>
      <c r="F3">
        <v>2024</v>
      </c>
    </row>
    <row r="5" spans="1:6" x14ac:dyDescent="0.35">
      <c r="A5" s="13" t="s">
        <v>18</v>
      </c>
      <c r="B5" s="13">
        <v>82584</v>
      </c>
      <c r="C5" s="13">
        <v>88108.480419735133</v>
      </c>
      <c r="D5" s="13">
        <v>94002.522545224856</v>
      </c>
      <c r="E5" s="13">
        <v>100290.84831301044</v>
      </c>
      <c r="F5" s="13">
        <v>106999.83344068473</v>
      </c>
    </row>
    <row r="6" spans="1:6" x14ac:dyDescent="0.35">
      <c r="A6" s="13" t="s">
        <v>19</v>
      </c>
      <c r="B6" s="13">
        <v>0</v>
      </c>
      <c r="C6" s="13">
        <v>17815.017510035083</v>
      </c>
      <c r="D6" s="13">
        <v>19006.758227503691</v>
      </c>
      <c r="E6" s="13">
        <v>20278.220782847144</v>
      </c>
      <c r="F6" s="13">
        <v>21634.738191327058</v>
      </c>
    </row>
    <row r="7" spans="1:6" x14ac:dyDescent="0.35">
      <c r="A7" s="13" t="s">
        <v>20</v>
      </c>
      <c r="B7" s="13">
        <v>0</v>
      </c>
      <c r="C7" s="13">
        <v>897.55118140088507</v>
      </c>
      <c r="D7" s="13">
        <v>972.11217485381246</v>
      </c>
      <c r="E7" s="13">
        <v>1051.3546672018656</v>
      </c>
      <c r="F7" s="13">
        <v>1135.6158198939083</v>
      </c>
    </row>
    <row r="8" spans="1:6" x14ac:dyDescent="0.35">
      <c r="A8" s="13" t="s">
        <v>21</v>
      </c>
      <c r="B8" s="13">
        <v>0</v>
      </c>
      <c r="C8" s="13">
        <v>1171.5753294966219</v>
      </c>
      <c r="D8" s="13">
        <v>141.89189085873733</v>
      </c>
      <c r="E8" s="13">
        <v>149.96025796902927</v>
      </c>
      <c r="F8" s="13">
        <v>158.56836081651016</v>
      </c>
    </row>
    <row r="9" spans="1:6" x14ac:dyDescent="0.35">
      <c r="A9" s="13" t="s">
        <v>22</v>
      </c>
      <c r="B9" s="13">
        <v>0</v>
      </c>
      <c r="C9" s="13">
        <v>15745.890999137575</v>
      </c>
      <c r="D9" s="13">
        <v>17892.754161791141</v>
      </c>
      <c r="E9" s="13">
        <v>19076.905857676247</v>
      </c>
      <c r="F9" s="13">
        <v>20340.554010616641</v>
      </c>
    </row>
    <row r="10" spans="1:6" x14ac:dyDescent="0.35">
      <c r="A10" s="13" t="s">
        <v>23</v>
      </c>
      <c r="B10" s="13">
        <v>0</v>
      </c>
      <c r="C10" s="13">
        <v>1701.8199461394372</v>
      </c>
      <c r="D10" s="13">
        <v>1933.8534685381346</v>
      </c>
      <c r="E10" s="13">
        <v>2061.8368881758352</v>
      </c>
      <c r="F10" s="13">
        <v>2198.4123053239664</v>
      </c>
    </row>
    <row r="11" spans="1:6" x14ac:dyDescent="0.35">
      <c r="A11" s="13" t="s">
        <v>24</v>
      </c>
      <c r="B11" s="13">
        <v>0</v>
      </c>
      <c r="C11" s="13">
        <v>14044.071052998137</v>
      </c>
      <c r="D11" s="13">
        <v>15958.900693253006</v>
      </c>
      <c r="E11" s="13">
        <v>17015.068969500411</v>
      </c>
      <c r="F11" s="13">
        <v>18142.141705292674</v>
      </c>
    </row>
    <row r="12" spans="1:6" x14ac:dyDescent="0.35">
      <c r="A12" s="13" t="s">
        <v>25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35">
      <c r="A13" s="13" t="s">
        <v>26</v>
      </c>
      <c r="B13" s="13">
        <v>0</v>
      </c>
      <c r="C13" s="13">
        <v>14044.071052998137</v>
      </c>
      <c r="D13" s="13">
        <v>15958.900693253006</v>
      </c>
      <c r="E13" s="13">
        <v>17015.068969500411</v>
      </c>
      <c r="F13" s="13">
        <v>18142.141705292674</v>
      </c>
    </row>
    <row r="14" spans="1:6" x14ac:dyDescent="0.35">
      <c r="A14" s="13" t="s">
        <v>27</v>
      </c>
      <c r="B14" s="13">
        <v>0</v>
      </c>
      <c r="C14" s="13">
        <v>10003.799694608773</v>
      </c>
      <c r="D14" s="13">
        <v>11367.761191109472</v>
      </c>
      <c r="E14" s="13">
        <v>12120.085487925366</v>
      </c>
      <c r="F14" s="13">
        <v>12922.916080819119</v>
      </c>
    </row>
    <row r="15" spans="1:6" x14ac:dyDescent="0.35">
      <c r="A15" s="13" t="s">
        <v>28</v>
      </c>
      <c r="B15" s="13">
        <v>0</v>
      </c>
      <c r="C15" s="13">
        <v>1064</v>
      </c>
      <c r="D15" s="13">
        <v>1064</v>
      </c>
      <c r="E15" s="13">
        <v>1064</v>
      </c>
      <c r="F15" s="13">
        <v>1064</v>
      </c>
    </row>
    <row r="16" spans="1:6" x14ac:dyDescent="0.35">
      <c r="A16" s="13" t="s">
        <v>29</v>
      </c>
      <c r="B16" s="13">
        <v>0</v>
      </c>
      <c r="C16" s="13">
        <v>758.7315968241229</v>
      </c>
      <c r="D16" s="13">
        <v>5922.3552118078769</v>
      </c>
      <c r="E16" s="13">
        <v>6250.6378976337628</v>
      </c>
      <c r="F16" s="13">
        <v>6600.8087149772118</v>
      </c>
    </row>
    <row r="17" spans="1:6" x14ac:dyDescent="0.35">
      <c r="A17" s="13"/>
      <c r="B17" s="13"/>
      <c r="C17" s="13"/>
      <c r="D17" s="13"/>
      <c r="E17" s="13"/>
      <c r="F17" s="13"/>
    </row>
    <row r="18" spans="1:6" x14ac:dyDescent="0.35">
      <c r="A18" s="13"/>
      <c r="B18" s="13"/>
      <c r="C18" s="13"/>
      <c r="D18" s="13"/>
      <c r="E18" s="13"/>
      <c r="F18" s="13"/>
    </row>
    <row r="19" spans="1:6" x14ac:dyDescent="0.35">
      <c r="A19" s="13"/>
      <c r="B19" s="13"/>
      <c r="C19" s="13"/>
      <c r="D19" s="13"/>
      <c r="E19" s="13"/>
      <c r="F19" s="13"/>
    </row>
    <row r="20" spans="1:6" x14ac:dyDescent="0.35">
      <c r="A20" s="13"/>
      <c r="B20" s="13"/>
      <c r="C20" s="13"/>
      <c r="D20" s="13"/>
      <c r="E20" s="13"/>
      <c r="F20" s="13"/>
    </row>
    <row r="21" spans="1:6" x14ac:dyDescent="0.35">
      <c r="B21" s="12" t="s">
        <v>30</v>
      </c>
    </row>
    <row r="23" spans="1:6" x14ac:dyDescent="0.35">
      <c r="B23">
        <v>2020</v>
      </c>
      <c r="C23">
        <v>2021</v>
      </c>
      <c r="D23">
        <v>2022</v>
      </c>
      <c r="E23">
        <v>2023</v>
      </c>
      <c r="F23">
        <v>2024</v>
      </c>
    </row>
    <row r="24" spans="1:6" x14ac:dyDescent="0.35">
      <c r="A24" s="14" t="s">
        <v>31</v>
      </c>
    </row>
    <row r="25" spans="1:6" x14ac:dyDescent="0.35">
      <c r="A25" s="13" t="s">
        <v>32</v>
      </c>
      <c r="B25" s="13">
        <v>0</v>
      </c>
      <c r="C25" s="13">
        <v>54664.513843673943</v>
      </c>
      <c r="D25" s="13">
        <v>58321.312211199329</v>
      </c>
      <c r="E25" s="13">
        <v>62222.733156709721</v>
      </c>
      <c r="F25" s="13">
        <v>66385.140777879045</v>
      </c>
    </row>
    <row r="26" spans="1:6" x14ac:dyDescent="0.35">
      <c r="A26" s="13" t="s">
        <v>33</v>
      </c>
      <c r="B26" s="13">
        <v>0</v>
      </c>
      <c r="C26" s="13">
        <v>131929.07056164858</v>
      </c>
      <c r="D26" s="13">
        <v>140754.50366142194</v>
      </c>
      <c r="E26" s="13">
        <v>150170.31664537842</v>
      </c>
      <c r="F26" s="13">
        <v>160216.00314558207</v>
      </c>
    </row>
    <row r="27" spans="1:6" x14ac:dyDescent="0.35">
      <c r="A27" s="13" t="s">
        <v>34</v>
      </c>
      <c r="B27" s="13">
        <v>0</v>
      </c>
      <c r="C27" s="13">
        <v>186593.58440532253</v>
      </c>
      <c r="D27" s="13">
        <v>199075.81587262126</v>
      </c>
      <c r="E27" s="13">
        <v>212393.04980208815</v>
      </c>
      <c r="F27" s="13">
        <v>226601.14392346112</v>
      </c>
    </row>
    <row r="28" spans="1:6" x14ac:dyDescent="0.35">
      <c r="A28" s="15" t="s">
        <v>35</v>
      </c>
      <c r="B28" s="13"/>
      <c r="C28" s="13"/>
      <c r="D28" s="13"/>
      <c r="E28" s="13"/>
      <c r="F28" s="13"/>
    </row>
    <row r="29" spans="1:6" x14ac:dyDescent="0.35">
      <c r="A29" s="13" t="s">
        <v>36</v>
      </c>
      <c r="B29" s="13">
        <v>0</v>
      </c>
      <c r="C29" s="13">
        <v>45335.581450109043</v>
      </c>
      <c r="D29" s="13">
        <v>48368.318203456358</v>
      </c>
      <c r="E29" s="13">
        <v>51603.930753714434</v>
      </c>
      <c r="F29" s="13">
        <v>55055.990535636643</v>
      </c>
    </row>
    <row r="30" spans="1:6" x14ac:dyDescent="0.35">
      <c r="A30" s="13" t="s">
        <v>37</v>
      </c>
      <c r="B30" s="13">
        <v>32635</v>
      </c>
      <c r="C30" s="13">
        <v>90149.766474831093</v>
      </c>
      <c r="D30" s="13">
        <v>96180.361017767966</v>
      </c>
      <c r="E30" s="13">
        <v>102614.37391621943</v>
      </c>
      <c r="F30" s="13">
        <v>109478.79195704493</v>
      </c>
    </row>
    <row r="31" spans="1:6" x14ac:dyDescent="0.35">
      <c r="A31" s="13" t="s">
        <v>38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35">
      <c r="A32" s="13" t="s">
        <v>39</v>
      </c>
      <c r="B32" s="13">
        <v>3120</v>
      </c>
      <c r="C32" s="13">
        <v>-54700.034878006969</v>
      </c>
      <c r="D32" s="13">
        <v>-55872.274209135954</v>
      </c>
      <c r="E32" s="13">
        <v>-57119.649209953663</v>
      </c>
      <c r="F32" s="13">
        <v>-58447.258535801957</v>
      </c>
    </row>
    <row r="33" spans="1:6" x14ac:dyDescent="0.35">
      <c r="A33" s="13" t="s">
        <v>40</v>
      </c>
      <c r="B33" s="13">
        <v>101768</v>
      </c>
      <c r="C33" s="13">
        <v>105808.27135838936</v>
      </c>
      <c r="D33" s="13">
        <v>110399.41086053289</v>
      </c>
      <c r="E33" s="13">
        <v>115294.39434210795</v>
      </c>
      <c r="F33" s="13">
        <v>120513.61996658149</v>
      </c>
    </row>
    <row r="34" spans="1:6" x14ac:dyDescent="0.35">
      <c r="A34" s="13" t="s">
        <v>41</v>
      </c>
      <c r="B34" s="13">
        <v>0</v>
      </c>
      <c r="C34" s="13">
        <v>186593.58440532253</v>
      </c>
      <c r="D34" s="13">
        <v>199075.81587262126</v>
      </c>
      <c r="E34" s="13">
        <v>212393.04980208815</v>
      </c>
      <c r="F34" s="13">
        <v>226601.14392346112</v>
      </c>
    </row>
    <row r="35" spans="1:6" x14ac:dyDescent="0.35">
      <c r="A35" s="16" t="s">
        <v>42</v>
      </c>
      <c r="B35" s="16">
        <v>0</v>
      </c>
      <c r="C35" s="16">
        <v>1.7638989854293754</v>
      </c>
      <c r="D35" s="16">
        <v>1.7638989854293752</v>
      </c>
      <c r="E35" s="16">
        <v>1.7638989854293752</v>
      </c>
      <c r="F35" s="16">
        <v>1.7638989854293752</v>
      </c>
    </row>
    <row r="36" spans="1:6" x14ac:dyDescent="0.35">
      <c r="A36" s="16" t="s">
        <v>43</v>
      </c>
      <c r="B36" s="16">
        <v>6.1590317144170365E-3</v>
      </c>
      <c r="C36" s="16">
        <v>9.9562230330510326E-3</v>
      </c>
      <c r="D36" s="16">
        <v>1.0107179517388466E-2</v>
      </c>
      <c r="E36" s="16">
        <v>1.0245686126392537E-2</v>
      </c>
      <c r="F36" s="16">
        <v>1.0372929766520243E-2</v>
      </c>
    </row>
    <row r="37" spans="1:6" x14ac:dyDescent="0.35">
      <c r="A37" s="20" t="s">
        <v>44</v>
      </c>
      <c r="B37" s="16"/>
      <c r="C37" s="16"/>
      <c r="D37" s="16"/>
      <c r="E37" s="16"/>
      <c r="F37" s="16"/>
    </row>
    <row r="38" spans="1:6" s="62" customFormat="1" x14ac:dyDescent="0.35">
      <c r="A38" s="61" t="s">
        <v>45</v>
      </c>
      <c r="B38" s="61">
        <v>0</v>
      </c>
      <c r="C38" s="61">
        <v>6.1220222880036159</v>
      </c>
      <c r="D38" s="61">
        <v>6.9750547132305902</v>
      </c>
      <c r="E38" s="61">
        <v>7.456222971201969</v>
      </c>
      <c r="F38" s="61">
        <v>7.9709889339899798</v>
      </c>
    </row>
    <row r="39" spans="1:6" s="62" customFormat="1" x14ac:dyDescent="0.35">
      <c r="A39" s="61" t="s">
        <v>46</v>
      </c>
      <c r="B39" s="61">
        <v>0</v>
      </c>
      <c r="C39" s="61">
        <v>4.3608070953218636</v>
      </c>
      <c r="D39" s="61">
        <v>4.9684347185924844</v>
      </c>
      <c r="E39" s="61">
        <v>5.3111779911083223</v>
      </c>
      <c r="F39" s="61">
        <v>5.6778534060859718</v>
      </c>
    </row>
    <row r="40" spans="1:6" x14ac:dyDescent="0.35">
      <c r="A40" s="60" t="s">
        <v>47</v>
      </c>
      <c r="B40" s="16">
        <v>0</v>
      </c>
      <c r="C40" s="16">
        <v>172.39773867362541</v>
      </c>
      <c r="D40" s="16">
        <v>196.41935346136989</v>
      </c>
      <c r="E40" s="16">
        <v>209.96917665596072</v>
      </c>
      <c r="F40" s="16">
        <v>224.46511994984641</v>
      </c>
    </row>
    <row r="66" spans="1:6" x14ac:dyDescent="0.35">
      <c r="A66" s="17"/>
      <c r="B66" s="17"/>
      <c r="C66" s="17"/>
      <c r="D66" s="17"/>
      <c r="E66" s="17"/>
      <c r="F66" s="17"/>
    </row>
    <row r="67" spans="1:6" x14ac:dyDescent="0.35">
      <c r="A67" s="17"/>
      <c r="B67" s="17"/>
      <c r="C67" s="17"/>
      <c r="D67" s="17"/>
      <c r="E67" s="17"/>
      <c r="F67" s="17"/>
    </row>
    <row r="68" spans="1:6" x14ac:dyDescent="0.35">
      <c r="A68" s="17"/>
      <c r="B68" s="17"/>
      <c r="C68" s="17"/>
      <c r="D68" s="17"/>
      <c r="E68" s="17"/>
      <c r="F68" s="17"/>
    </row>
    <row r="69" spans="1:6" x14ac:dyDescent="0.35">
      <c r="A69" s="17"/>
      <c r="B69" s="17"/>
      <c r="C69" s="17"/>
      <c r="D69" s="17"/>
      <c r="E69" s="17"/>
      <c r="F69" s="17"/>
    </row>
    <row r="70" spans="1:6" x14ac:dyDescent="0.35">
      <c r="A70" s="18"/>
      <c r="B70" s="18"/>
      <c r="C70" s="18"/>
      <c r="D70" s="18"/>
      <c r="E70" s="18"/>
      <c r="F70" s="18"/>
    </row>
    <row r="71" spans="1:6" x14ac:dyDescent="0.35">
      <c r="A71" s="18"/>
      <c r="B71" s="18"/>
      <c r="C71" s="18"/>
      <c r="D71" s="18"/>
      <c r="E71" s="18"/>
      <c r="F71" s="18"/>
    </row>
    <row r="72" spans="1:6" x14ac:dyDescent="0.35">
      <c r="A72" s="18"/>
      <c r="B72" s="18"/>
      <c r="C72" s="18"/>
      <c r="D72" s="18"/>
      <c r="E72" s="18"/>
      <c r="F72" s="18"/>
    </row>
    <row r="73" spans="1:6" x14ac:dyDescent="0.35">
      <c r="A73" s="18"/>
      <c r="B73" s="18"/>
      <c r="C73" s="18"/>
      <c r="D73" s="18"/>
      <c r="E73" s="18"/>
      <c r="F73" s="18"/>
    </row>
    <row r="74" spans="1:6" x14ac:dyDescent="0.35">
      <c r="A74" s="18"/>
      <c r="B74" s="18"/>
      <c r="C74" s="18"/>
      <c r="D74" s="18"/>
      <c r="E74" s="18"/>
      <c r="F74" s="18"/>
    </row>
    <row r="75" spans="1:6" x14ac:dyDescent="0.35">
      <c r="A75" s="18"/>
      <c r="B75" s="18"/>
      <c r="C75" s="18"/>
      <c r="D75" s="18"/>
      <c r="E75" s="18"/>
      <c r="F75" s="18"/>
    </row>
    <row r="76" spans="1:6" x14ac:dyDescent="0.35">
      <c r="A76" s="18"/>
      <c r="B76" s="18"/>
      <c r="C76" s="18"/>
      <c r="D76" s="18"/>
      <c r="E76" s="18"/>
      <c r="F76" s="18"/>
    </row>
    <row r="77" spans="1:6" x14ac:dyDescent="0.35">
      <c r="A77" s="18"/>
      <c r="B77" s="18"/>
      <c r="C77" s="18"/>
      <c r="D77" s="18"/>
      <c r="E77" s="18"/>
      <c r="F77" s="18"/>
    </row>
    <row r="78" spans="1:6" x14ac:dyDescent="0.35">
      <c r="A78" s="18"/>
      <c r="B78" s="18"/>
      <c r="C78" s="18"/>
      <c r="D78" s="18"/>
      <c r="E78" s="18"/>
      <c r="F7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A573B-E53C-4C01-8536-6D18A27E569F}">
  <dimension ref="A1:E35"/>
  <sheetViews>
    <sheetView topLeftCell="A25" zoomScaleNormal="100" workbookViewId="0">
      <selection activeCell="C33" sqref="C33"/>
    </sheetView>
  </sheetViews>
  <sheetFormatPr defaultRowHeight="14.5" x14ac:dyDescent="0.35"/>
  <cols>
    <col min="1" max="1" width="32" customWidth="1"/>
    <col min="2" max="2" width="17.6328125" customWidth="1"/>
    <col min="3" max="3" width="16" style="1" customWidth="1"/>
    <col min="4" max="4" width="19.90625" style="1" customWidth="1"/>
  </cols>
  <sheetData>
    <row r="1" spans="1:4" ht="26" customHeight="1" x14ac:dyDescent="0.35">
      <c r="A1" t="s">
        <v>159</v>
      </c>
    </row>
    <row r="3" spans="1:4" ht="48" customHeight="1" x14ac:dyDescent="0.35">
      <c r="B3" s="1" t="s">
        <v>167</v>
      </c>
      <c r="C3" s="1" t="s">
        <v>168</v>
      </c>
      <c r="D3" s="75" t="s">
        <v>160</v>
      </c>
    </row>
    <row r="5" spans="1:4" x14ac:dyDescent="0.35">
      <c r="A5" s="13" t="s">
        <v>18</v>
      </c>
      <c r="B5" s="13">
        <v>88108.480419735133</v>
      </c>
      <c r="C5" s="5">
        <v>93775</v>
      </c>
      <c r="D5" s="77">
        <f>(C5-B5)/C5</f>
        <v>6.042676171969999E-2</v>
      </c>
    </row>
    <row r="6" spans="1:4" x14ac:dyDescent="0.35">
      <c r="A6" s="13" t="s">
        <v>19</v>
      </c>
      <c r="B6" s="13">
        <v>17815.017510035083</v>
      </c>
      <c r="C6" s="5">
        <v>23410</v>
      </c>
      <c r="D6" s="77">
        <f t="shared" ref="D6:D15" si="0">(C6-B6)/C6</f>
        <v>0.23899967919542578</v>
      </c>
    </row>
    <row r="7" spans="1:4" x14ac:dyDescent="0.35">
      <c r="A7" s="13" t="s">
        <v>20</v>
      </c>
      <c r="B7" s="13">
        <v>897.55118140088507</v>
      </c>
      <c r="C7" s="1">
        <v>183</v>
      </c>
      <c r="D7" s="77">
        <f t="shared" si="0"/>
        <v>-3.904651264485711</v>
      </c>
    </row>
    <row r="8" spans="1:4" x14ac:dyDescent="0.35">
      <c r="A8" s="13" t="s">
        <v>21</v>
      </c>
      <c r="B8" s="13">
        <v>1171.5753294966219</v>
      </c>
      <c r="D8" s="77"/>
    </row>
    <row r="9" spans="1:4" x14ac:dyDescent="0.35">
      <c r="A9" s="13" t="s">
        <v>22</v>
      </c>
      <c r="B9" s="13">
        <v>15745.890999137575</v>
      </c>
      <c r="C9" s="5">
        <v>22776</v>
      </c>
      <c r="D9" s="77">
        <f t="shared" si="0"/>
        <v>0.30866302251766881</v>
      </c>
    </row>
    <row r="10" spans="1:4" x14ac:dyDescent="0.35">
      <c r="A10" s="13" t="s">
        <v>23</v>
      </c>
      <c r="B10" s="13">
        <v>1701.8199461394372</v>
      </c>
      <c r="C10" s="5">
        <v>1898</v>
      </c>
      <c r="D10" s="77">
        <f t="shared" si="0"/>
        <v>0.10336146146499621</v>
      </c>
    </row>
    <row r="11" spans="1:4" x14ac:dyDescent="0.35">
      <c r="A11" s="13" t="s">
        <v>24</v>
      </c>
      <c r="B11" s="13">
        <v>14044.071052998137</v>
      </c>
      <c r="C11" s="5">
        <v>20878</v>
      </c>
      <c r="D11" s="77">
        <f t="shared" si="0"/>
        <v>0.32732680079518456</v>
      </c>
    </row>
    <row r="12" spans="1:4" x14ac:dyDescent="0.35">
      <c r="A12" s="13" t="s">
        <v>25</v>
      </c>
      <c r="B12" s="13">
        <v>0</v>
      </c>
      <c r="D12" s="77"/>
    </row>
    <row r="13" spans="1:4" x14ac:dyDescent="0.35">
      <c r="A13" s="13" t="s">
        <v>26</v>
      </c>
      <c r="B13" s="13">
        <v>14044.071052998137</v>
      </c>
      <c r="D13" s="77"/>
    </row>
    <row r="14" spans="1:4" x14ac:dyDescent="0.35">
      <c r="A14" s="13" t="s">
        <v>27</v>
      </c>
      <c r="B14" s="13">
        <v>10003.799694608773</v>
      </c>
      <c r="C14" s="5">
        <v>11032</v>
      </c>
      <c r="D14" s="77">
        <f t="shared" si="0"/>
        <v>9.3201623041264212E-2</v>
      </c>
    </row>
    <row r="15" spans="1:4" x14ac:dyDescent="0.35">
      <c r="A15" s="13" t="s">
        <v>28</v>
      </c>
      <c r="B15" s="13">
        <v>1064</v>
      </c>
      <c r="C15" s="5">
        <v>1802</v>
      </c>
      <c r="D15" s="77">
        <f t="shared" si="0"/>
        <v>0.40954495005549391</v>
      </c>
    </row>
    <row r="16" spans="1:4" x14ac:dyDescent="0.35">
      <c r="A16" s="13" t="s">
        <v>29</v>
      </c>
      <c r="B16" s="13">
        <v>758.7315968241229</v>
      </c>
      <c r="D16" s="76"/>
    </row>
    <row r="18" spans="1:5" ht="43.5" x14ac:dyDescent="0.35">
      <c r="B18" s="1" t="s">
        <v>167</v>
      </c>
      <c r="C18" s="1" t="s">
        <v>168</v>
      </c>
      <c r="D18" s="75" t="s">
        <v>160</v>
      </c>
    </row>
    <row r="19" spans="1:5" x14ac:dyDescent="0.35">
      <c r="A19" s="14" t="s">
        <v>31</v>
      </c>
    </row>
    <row r="20" spans="1:5" x14ac:dyDescent="0.35">
      <c r="A20" s="13" t="s">
        <v>32</v>
      </c>
      <c r="B20" s="13">
        <v>54664.513843673943</v>
      </c>
      <c r="C20" s="5">
        <v>60979</v>
      </c>
      <c r="D20" s="77">
        <f>(C20-B20)/C20</f>
        <v>0.10355181548280648</v>
      </c>
    </row>
    <row r="21" spans="1:5" x14ac:dyDescent="0.35">
      <c r="A21" s="13" t="s">
        <v>33</v>
      </c>
      <c r="B21" s="13">
        <v>131929.07056164858</v>
      </c>
      <c r="C21" s="5">
        <v>18962</v>
      </c>
      <c r="D21" s="77">
        <f t="shared" ref="D21:D35" si="1">(C21-B21)/C21</f>
        <v>-5.9575503935053566</v>
      </c>
    </row>
    <row r="22" spans="1:5" x14ac:dyDescent="0.35">
      <c r="A22" s="13" t="s">
        <v>34</v>
      </c>
      <c r="B22" s="13">
        <v>186593.58440532253</v>
      </c>
      <c r="C22" s="5">
        <v>182018</v>
      </c>
      <c r="D22" s="77">
        <f t="shared" si="1"/>
        <v>-2.5138087471143128E-2</v>
      </c>
    </row>
    <row r="23" spans="1:5" x14ac:dyDescent="0.35">
      <c r="A23" s="15" t="s">
        <v>35</v>
      </c>
      <c r="B23" s="13"/>
      <c r="D23" s="77"/>
    </row>
    <row r="24" spans="1:5" x14ac:dyDescent="0.35">
      <c r="A24" s="13" t="s">
        <v>36</v>
      </c>
      <c r="B24" s="13">
        <v>45335.581450109043</v>
      </c>
      <c r="C24" s="5">
        <v>45226</v>
      </c>
      <c r="D24" s="77">
        <f t="shared" si="1"/>
        <v>-2.4229746187821749E-3</v>
      </c>
    </row>
    <row r="25" spans="1:5" x14ac:dyDescent="0.35">
      <c r="A25" s="13" t="s">
        <v>37</v>
      </c>
      <c r="B25" s="13">
        <v>90149.766474831093</v>
      </c>
      <c r="C25" s="5">
        <v>29985</v>
      </c>
      <c r="D25" s="77">
        <f t="shared" si="1"/>
        <v>-2.0064954635594829</v>
      </c>
    </row>
    <row r="26" spans="1:5" x14ac:dyDescent="0.35">
      <c r="A26" s="13" t="s">
        <v>38</v>
      </c>
      <c r="B26" s="13">
        <v>0</v>
      </c>
      <c r="D26" s="77"/>
    </row>
    <row r="27" spans="1:5" x14ac:dyDescent="0.35">
      <c r="A27" s="13" t="s">
        <v>39</v>
      </c>
      <c r="B27" s="13">
        <v>-54700.034878006969</v>
      </c>
      <c r="C27" s="5">
        <v>3120</v>
      </c>
      <c r="D27" s="77">
        <f t="shared" si="1"/>
        <v>18.53206246089967</v>
      </c>
    </row>
    <row r="28" spans="1:5" x14ac:dyDescent="0.35">
      <c r="A28" s="13" t="s">
        <v>40</v>
      </c>
      <c r="B28" s="13">
        <v>105808.27135838936</v>
      </c>
      <c r="C28" s="5">
        <v>123060</v>
      </c>
      <c r="D28" s="77">
        <f t="shared" si="1"/>
        <v>0.14018957127913731</v>
      </c>
    </row>
    <row r="29" spans="1:5" x14ac:dyDescent="0.35">
      <c r="A29" s="13" t="s">
        <v>41</v>
      </c>
      <c r="B29" s="13">
        <v>186593.58440532253</v>
      </c>
      <c r="C29" s="5">
        <v>182018</v>
      </c>
      <c r="D29" s="77">
        <f t="shared" si="1"/>
        <v>-2.5138087471143128E-2</v>
      </c>
    </row>
    <row r="30" spans="1:5" x14ac:dyDescent="0.35">
      <c r="A30" s="16" t="s">
        <v>155</v>
      </c>
      <c r="B30" s="16">
        <v>1.7638989854293754</v>
      </c>
      <c r="C30" s="74">
        <v>1.46</v>
      </c>
      <c r="D30" s="77">
        <f t="shared" si="1"/>
        <v>-0.20814999002012016</v>
      </c>
      <c r="E30" t="s">
        <v>169</v>
      </c>
    </row>
    <row r="31" spans="1:5" x14ac:dyDescent="0.35">
      <c r="A31" s="16" t="s">
        <v>173</v>
      </c>
      <c r="B31" s="16">
        <v>9.9562230330510326E-3</v>
      </c>
      <c r="C31" s="87">
        <f>183/29985</f>
        <v>6.1030515257628811E-3</v>
      </c>
      <c r="D31" s="77">
        <f t="shared" si="1"/>
        <v>-0.6313516264810668</v>
      </c>
      <c r="E31" s="63" t="s">
        <v>140</v>
      </c>
    </row>
    <row r="32" spans="1:5" x14ac:dyDescent="0.35">
      <c r="A32" s="20" t="s">
        <v>44</v>
      </c>
      <c r="B32" s="16"/>
      <c r="C32" s="86"/>
      <c r="D32" s="77"/>
    </row>
    <row r="33" spans="1:5" x14ac:dyDescent="0.35">
      <c r="A33" s="61" t="s">
        <v>45</v>
      </c>
      <c r="B33" s="61">
        <v>6.1220222880036159</v>
      </c>
      <c r="C33" s="74">
        <v>7.93</v>
      </c>
      <c r="D33" s="77">
        <f t="shared" si="1"/>
        <v>0.2279921452706663</v>
      </c>
      <c r="E33" t="s">
        <v>170</v>
      </c>
    </row>
    <row r="34" spans="1:5" x14ac:dyDescent="0.35">
      <c r="A34" s="61" t="s">
        <v>46</v>
      </c>
      <c r="B34" s="61">
        <v>4.3608070953218636</v>
      </c>
      <c r="C34" s="88">
        <f>11032/2362.1</f>
        <v>4.67042038863723</v>
      </c>
      <c r="D34" s="77">
        <f t="shared" si="1"/>
        <v>6.6292382173697137E-2</v>
      </c>
      <c r="E34" t="s">
        <v>171</v>
      </c>
    </row>
    <row r="35" spans="1:5" x14ac:dyDescent="0.35">
      <c r="A35" s="61" t="s">
        <v>47</v>
      </c>
      <c r="B35" s="16">
        <v>172.39773867362541</v>
      </c>
      <c r="C35" s="74">
        <v>171.07</v>
      </c>
      <c r="D35" s="77">
        <f t="shared" si="1"/>
        <v>-7.7613764752757271E-3</v>
      </c>
      <c r="E3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467A-668A-4686-A7B5-E9715CBE4280}">
  <dimension ref="A2:G160"/>
  <sheetViews>
    <sheetView zoomScale="90" zoomScaleNormal="90" workbookViewId="0">
      <selection activeCell="A2" sqref="A2"/>
    </sheetView>
  </sheetViews>
  <sheetFormatPr defaultRowHeight="14.5" x14ac:dyDescent="0.35"/>
  <cols>
    <col min="1" max="1" width="52.90625" style="63" customWidth="1"/>
    <col min="2" max="2" width="16.81640625" style="63" customWidth="1"/>
    <col min="3" max="3" width="10.6328125" style="63" customWidth="1"/>
    <col min="5" max="5" width="30.81640625" customWidth="1"/>
    <col min="6" max="6" width="12.54296875" customWidth="1"/>
    <col min="2000" max="2000" width="2.453125" customWidth="1"/>
  </cols>
  <sheetData>
    <row r="2" spans="1:5" x14ac:dyDescent="0.35">
      <c r="A2" s="66" t="s">
        <v>149</v>
      </c>
    </row>
    <row r="3" spans="1:5" x14ac:dyDescent="0.35">
      <c r="B3" s="69">
        <v>2020</v>
      </c>
    </row>
    <row r="4" spans="1:5" ht="15.5" x14ac:dyDescent="0.35">
      <c r="A4" s="2" t="s">
        <v>0</v>
      </c>
      <c r="B4" s="3">
        <v>4</v>
      </c>
      <c r="C4"/>
    </row>
    <row r="5" spans="1:5" x14ac:dyDescent="0.35">
      <c r="A5" s="46" t="s">
        <v>164</v>
      </c>
      <c r="B5" s="6">
        <v>82584</v>
      </c>
      <c r="C5"/>
      <c r="E5" s="66" t="s">
        <v>157</v>
      </c>
    </row>
    <row r="6" spans="1:5" x14ac:dyDescent="0.35">
      <c r="A6" s="47" t="s">
        <v>152</v>
      </c>
      <c r="B6" s="48">
        <v>6.6895287461677042E-2</v>
      </c>
      <c r="C6"/>
      <c r="E6" s="66" t="s">
        <v>153</v>
      </c>
    </row>
    <row r="7" spans="1:5" x14ac:dyDescent="0.35">
      <c r="A7" s="47" t="s">
        <v>1</v>
      </c>
      <c r="B7" s="19">
        <v>0.6204228421970357</v>
      </c>
      <c r="C7"/>
      <c r="E7" s="66" t="s">
        <v>158</v>
      </c>
    </row>
    <row r="8" spans="1:5" x14ac:dyDescent="0.35">
      <c r="A8" s="47" t="s">
        <v>50</v>
      </c>
      <c r="B8" s="19">
        <v>1.4973481546062191</v>
      </c>
      <c r="C8"/>
      <c r="E8" s="66" t="s">
        <v>154</v>
      </c>
    </row>
    <row r="9" spans="1:5" x14ac:dyDescent="0.35">
      <c r="A9" s="47" t="s">
        <v>2</v>
      </c>
      <c r="B9" s="19">
        <v>0.51454276857502668</v>
      </c>
      <c r="C9"/>
      <c r="E9" s="66" t="s">
        <v>155</v>
      </c>
    </row>
    <row r="10" spans="1:5" x14ac:dyDescent="0.35">
      <c r="A10" s="47" t="s">
        <v>3</v>
      </c>
      <c r="B10">
        <v>0</v>
      </c>
      <c r="C10"/>
      <c r="E10" s="66" t="s">
        <v>156</v>
      </c>
    </row>
    <row r="11" spans="1:5" x14ac:dyDescent="0.35">
      <c r="A11" s="47" t="s">
        <v>4</v>
      </c>
      <c r="B11">
        <v>0</v>
      </c>
      <c r="C11"/>
    </row>
    <row r="12" spans="1:5" x14ac:dyDescent="0.35">
      <c r="A12" s="47" t="s">
        <v>178</v>
      </c>
      <c r="B12" s="49">
        <v>32635</v>
      </c>
      <c r="C12"/>
    </row>
    <row r="13" spans="1:5" x14ac:dyDescent="0.35">
      <c r="A13" s="47" t="s">
        <v>5</v>
      </c>
      <c r="B13" s="49">
        <v>1064</v>
      </c>
      <c r="C13"/>
    </row>
    <row r="14" spans="1:5" x14ac:dyDescent="0.35">
      <c r="A14" s="47" t="s">
        <v>79</v>
      </c>
      <c r="B14" s="49">
        <v>3120</v>
      </c>
      <c r="C14"/>
    </row>
    <row r="15" spans="1:5" x14ac:dyDescent="0.35">
      <c r="A15" s="47" t="s">
        <v>82</v>
      </c>
      <c r="B15" s="49">
        <v>113890</v>
      </c>
      <c r="C15"/>
    </row>
    <row r="16" spans="1:5" x14ac:dyDescent="0.35">
      <c r="A16" s="47" t="s">
        <v>7</v>
      </c>
      <c r="B16" s="48">
        <v>0.28768519777083046</v>
      </c>
      <c r="C16"/>
    </row>
    <row r="17" spans="1:3" x14ac:dyDescent="0.35">
      <c r="A17" s="46" t="s">
        <v>51</v>
      </c>
      <c r="B17" s="48">
        <v>0.10808025701642723</v>
      </c>
      <c r="C17"/>
    </row>
    <row r="18" spans="1:3" x14ac:dyDescent="0.35">
      <c r="A18" s="46" t="s">
        <v>177</v>
      </c>
      <c r="B18" s="48">
        <v>6.1590317144170365E-3</v>
      </c>
      <c r="C18"/>
    </row>
    <row r="19" spans="1:3" x14ac:dyDescent="0.35">
      <c r="A19" s="47" t="s">
        <v>8</v>
      </c>
      <c r="B19" s="7">
        <v>1.1159031714417036E-2</v>
      </c>
      <c r="C19"/>
    </row>
    <row r="20" spans="1:3" x14ac:dyDescent="0.35">
      <c r="A20" s="47" t="s">
        <v>9</v>
      </c>
      <c r="B20" s="48">
        <v>0.20219412961348446</v>
      </c>
      <c r="C20"/>
    </row>
    <row r="21" spans="1:3" x14ac:dyDescent="0.35">
      <c r="A21" s="46" t="s">
        <v>10</v>
      </c>
      <c r="B21" s="7">
        <v>0.02</v>
      </c>
      <c r="C21"/>
    </row>
    <row r="22" spans="1:3" x14ac:dyDescent="0.35">
      <c r="A22" s="46" t="s">
        <v>11</v>
      </c>
      <c r="B22" s="7">
        <v>0.01</v>
      </c>
      <c r="C22"/>
    </row>
    <row r="23" spans="1:3" x14ac:dyDescent="0.35">
      <c r="A23" s="58" t="s">
        <v>143</v>
      </c>
      <c r="B23" s="70">
        <f>1.7639+0.05</f>
        <v>1.8139000000000001</v>
      </c>
      <c r="C23"/>
    </row>
    <row r="24" spans="1:3" x14ac:dyDescent="0.35">
      <c r="A24" s="46" t="s">
        <v>91</v>
      </c>
      <c r="B24" s="50">
        <v>2632.8</v>
      </c>
      <c r="C24"/>
    </row>
    <row r="25" spans="1:3" x14ac:dyDescent="0.35">
      <c r="A25" s="47" t="s">
        <v>14</v>
      </c>
      <c r="B25" s="48">
        <v>28.160259888541525</v>
      </c>
      <c r="C25"/>
    </row>
    <row r="26" spans="1:3" s="68" customFormat="1" ht="15" thickBot="1" x14ac:dyDescent="0.4">
      <c r="A26" s="67"/>
      <c r="B26" s="67"/>
      <c r="C26" s="67"/>
    </row>
    <row r="29" spans="1:3" x14ac:dyDescent="0.35">
      <c r="A29" s="66" t="s">
        <v>150</v>
      </c>
    </row>
    <row r="30" spans="1:3" x14ac:dyDescent="0.35">
      <c r="B30" s="69">
        <v>2020</v>
      </c>
    </row>
    <row r="31" spans="1:3" ht="15.5" x14ac:dyDescent="0.35">
      <c r="A31" s="2" t="s">
        <v>0</v>
      </c>
      <c r="B31" s="3">
        <v>4</v>
      </c>
    </row>
    <row r="32" spans="1:3" x14ac:dyDescent="0.35">
      <c r="A32" s="46" t="s">
        <v>164</v>
      </c>
      <c r="B32" s="6">
        <v>82584</v>
      </c>
    </row>
    <row r="33" spans="1:2" x14ac:dyDescent="0.35">
      <c r="A33" s="47" t="s">
        <v>152</v>
      </c>
      <c r="B33" s="48">
        <v>6.6895287461677042E-2</v>
      </c>
    </row>
    <row r="34" spans="1:2" x14ac:dyDescent="0.35">
      <c r="A34" s="47" t="s">
        <v>1</v>
      </c>
      <c r="B34" s="19">
        <v>0.6204228421970357</v>
      </c>
    </row>
    <row r="35" spans="1:2" x14ac:dyDescent="0.35">
      <c r="A35" s="47" t="s">
        <v>50</v>
      </c>
      <c r="B35" s="19">
        <v>1.4973481546062191</v>
      </c>
    </row>
    <row r="36" spans="1:2" x14ac:dyDescent="0.35">
      <c r="A36" s="47" t="s">
        <v>2</v>
      </c>
      <c r="B36" s="19">
        <v>0.51454276857502668</v>
      </c>
    </row>
    <row r="37" spans="1:2" x14ac:dyDescent="0.35">
      <c r="A37" s="47" t="s">
        <v>3</v>
      </c>
      <c r="B37">
        <v>0</v>
      </c>
    </row>
    <row r="38" spans="1:2" x14ac:dyDescent="0.35">
      <c r="A38" s="47" t="s">
        <v>4</v>
      </c>
      <c r="B38">
        <v>0</v>
      </c>
    </row>
    <row r="39" spans="1:2" x14ac:dyDescent="0.35">
      <c r="A39" s="47" t="s">
        <v>178</v>
      </c>
      <c r="B39" s="49">
        <v>32635</v>
      </c>
    </row>
    <row r="40" spans="1:2" x14ac:dyDescent="0.35">
      <c r="A40" s="47" t="s">
        <v>5</v>
      </c>
      <c r="B40" s="49">
        <v>1064</v>
      </c>
    </row>
    <row r="41" spans="1:2" x14ac:dyDescent="0.35">
      <c r="A41" s="47" t="s">
        <v>79</v>
      </c>
      <c r="B41" s="49">
        <v>3120</v>
      </c>
    </row>
    <row r="42" spans="1:2" x14ac:dyDescent="0.35">
      <c r="A42" s="47" t="s">
        <v>82</v>
      </c>
      <c r="B42" s="49">
        <v>113890</v>
      </c>
    </row>
    <row r="43" spans="1:2" x14ac:dyDescent="0.35">
      <c r="A43" s="47" t="s">
        <v>7</v>
      </c>
      <c r="B43" s="48">
        <v>0.28768519777083046</v>
      </c>
    </row>
    <row r="44" spans="1:2" x14ac:dyDescent="0.35">
      <c r="A44" s="46" t="s">
        <v>51</v>
      </c>
      <c r="B44" s="48">
        <v>0.10808025701642723</v>
      </c>
    </row>
    <row r="45" spans="1:2" x14ac:dyDescent="0.35">
      <c r="A45" s="46" t="s">
        <v>177</v>
      </c>
      <c r="B45" s="48">
        <v>6.1590317144170365E-3</v>
      </c>
    </row>
    <row r="46" spans="1:2" x14ac:dyDescent="0.35">
      <c r="A46" s="47" t="s">
        <v>8</v>
      </c>
      <c r="B46" s="7">
        <v>1.1159031714417036E-2</v>
      </c>
    </row>
    <row r="47" spans="1:2" x14ac:dyDescent="0.35">
      <c r="A47" s="47" t="s">
        <v>9</v>
      </c>
      <c r="B47" s="48">
        <v>0.20219412961348446</v>
      </c>
    </row>
    <row r="48" spans="1:2" x14ac:dyDescent="0.35">
      <c r="A48" s="46" t="s">
        <v>10</v>
      </c>
      <c r="B48" s="7">
        <v>0.02</v>
      </c>
    </row>
    <row r="49" spans="1:7" x14ac:dyDescent="0.35">
      <c r="A49" s="46" t="s">
        <v>11</v>
      </c>
      <c r="B49" s="7">
        <v>0.01</v>
      </c>
    </row>
    <row r="50" spans="1:7" x14ac:dyDescent="0.35">
      <c r="A50" s="58" t="s">
        <v>143</v>
      </c>
      <c r="B50" s="70">
        <f>1.7639-0.05</f>
        <v>1.7139</v>
      </c>
    </row>
    <row r="51" spans="1:7" x14ac:dyDescent="0.35">
      <c r="A51" s="46" t="s">
        <v>91</v>
      </c>
      <c r="B51" s="50">
        <v>2632.8</v>
      </c>
    </row>
    <row r="52" spans="1:7" x14ac:dyDescent="0.35">
      <c r="A52" s="47" t="s">
        <v>14</v>
      </c>
      <c r="B52" s="48">
        <v>28.160259888541525</v>
      </c>
    </row>
    <row r="53" spans="1:7" s="68" customFormat="1" ht="15" thickBot="1" x14ac:dyDescent="0.4">
      <c r="A53" s="67"/>
      <c r="B53" s="67"/>
      <c r="C53" s="67"/>
    </row>
    <row r="55" spans="1:7" x14ac:dyDescent="0.35">
      <c r="A55" s="66" t="s">
        <v>176</v>
      </c>
    </row>
    <row r="56" spans="1:7" x14ac:dyDescent="0.35">
      <c r="B56" s="69">
        <v>2020</v>
      </c>
      <c r="E56" s="63" t="s">
        <v>144</v>
      </c>
      <c r="F56" s="71">
        <f>0.6559+0.01</f>
        <v>0.66590000000000005</v>
      </c>
      <c r="G56" s="63" t="s">
        <v>145</v>
      </c>
    </row>
    <row r="57" spans="1:7" ht="15.5" x14ac:dyDescent="0.35">
      <c r="A57" s="2" t="s">
        <v>0</v>
      </c>
      <c r="B57" s="3">
        <v>4</v>
      </c>
      <c r="C57" s="3"/>
      <c r="E57" s="65" t="s">
        <v>48</v>
      </c>
      <c r="F57" s="64">
        <v>0.25419999999999998</v>
      </c>
      <c r="G57" s="63" t="s">
        <v>147</v>
      </c>
    </row>
    <row r="58" spans="1:7" x14ac:dyDescent="0.35">
      <c r="A58" s="46" t="s">
        <v>164</v>
      </c>
      <c r="B58" s="6">
        <v>82584</v>
      </c>
      <c r="E58" s="63" t="s">
        <v>146</v>
      </c>
      <c r="F58" s="64">
        <f>((1-F56)*F57)/(1-((1-F56)*F57))</f>
        <v>9.2810445973975933E-2</v>
      </c>
      <c r="G58" s="63" t="s">
        <v>148</v>
      </c>
    </row>
    <row r="59" spans="1:7" s="62" customFormat="1" x14ac:dyDescent="0.35">
      <c r="A59" s="47" t="s">
        <v>152</v>
      </c>
      <c r="B59" s="78">
        <v>6.6895287461677042E-2</v>
      </c>
      <c r="C59" s="78"/>
    </row>
    <row r="60" spans="1:7" x14ac:dyDescent="0.35">
      <c r="A60" s="46" t="s">
        <v>1</v>
      </c>
      <c r="B60" s="19">
        <v>0.6204228421970357</v>
      </c>
    </row>
    <row r="61" spans="1:7" x14ac:dyDescent="0.35">
      <c r="A61" s="46" t="s">
        <v>50</v>
      </c>
      <c r="B61" s="19">
        <v>1.4973481546062191</v>
      </c>
    </row>
    <row r="62" spans="1:7" x14ac:dyDescent="0.35">
      <c r="A62" s="46" t="s">
        <v>2</v>
      </c>
      <c r="B62" s="19">
        <v>0.51454276857502668</v>
      </c>
    </row>
    <row r="63" spans="1:7" x14ac:dyDescent="0.35">
      <c r="A63" s="46" t="s">
        <v>3</v>
      </c>
      <c r="B63">
        <v>0</v>
      </c>
    </row>
    <row r="64" spans="1:7" x14ac:dyDescent="0.35">
      <c r="A64" s="46" t="s">
        <v>4</v>
      </c>
      <c r="B64">
        <v>0</v>
      </c>
    </row>
    <row r="65" spans="1:3" x14ac:dyDescent="0.35">
      <c r="A65" s="46" t="s">
        <v>178</v>
      </c>
      <c r="B65" s="49">
        <v>32635</v>
      </c>
    </row>
    <row r="66" spans="1:3" x14ac:dyDescent="0.35">
      <c r="A66" s="46" t="s">
        <v>5</v>
      </c>
      <c r="B66" s="49">
        <v>1064</v>
      </c>
    </row>
    <row r="67" spans="1:3" x14ac:dyDescent="0.35">
      <c r="A67" s="46" t="s">
        <v>79</v>
      </c>
      <c r="B67" s="49">
        <v>3120</v>
      </c>
    </row>
    <row r="68" spans="1:3" x14ac:dyDescent="0.35">
      <c r="A68" s="46" t="s">
        <v>82</v>
      </c>
      <c r="B68" s="49">
        <v>113890</v>
      </c>
    </row>
    <row r="69" spans="1:3" x14ac:dyDescent="0.35">
      <c r="A69" s="58" t="s">
        <v>174</v>
      </c>
      <c r="B69" s="70">
        <f>0.2877+0.05</f>
        <v>0.3377</v>
      </c>
      <c r="C69" s="48"/>
    </row>
    <row r="70" spans="1:3" x14ac:dyDescent="0.35">
      <c r="A70" s="46" t="s">
        <v>51</v>
      </c>
      <c r="B70" s="48">
        <v>0.10808025701642723</v>
      </c>
    </row>
    <row r="71" spans="1:3" x14ac:dyDescent="0.35">
      <c r="A71" s="46" t="s">
        <v>177</v>
      </c>
      <c r="B71" s="48">
        <v>6.1590317144170365E-3</v>
      </c>
    </row>
    <row r="72" spans="1:3" x14ac:dyDescent="0.35">
      <c r="A72" s="47" t="s">
        <v>8</v>
      </c>
      <c r="B72" s="7">
        <v>1.1159031714417036E-2</v>
      </c>
    </row>
    <row r="73" spans="1:3" x14ac:dyDescent="0.35">
      <c r="A73" s="47" t="s">
        <v>9</v>
      </c>
      <c r="B73" s="48">
        <v>0.20219412961348446</v>
      </c>
    </row>
    <row r="74" spans="1:3" x14ac:dyDescent="0.35">
      <c r="A74" s="46" t="s">
        <v>10</v>
      </c>
      <c r="B74" s="7">
        <v>0.02</v>
      </c>
    </row>
    <row r="75" spans="1:3" x14ac:dyDescent="0.35">
      <c r="A75" s="46" t="s">
        <v>11</v>
      </c>
      <c r="B75" s="7">
        <v>0.01</v>
      </c>
    </row>
    <row r="76" spans="1:3" x14ac:dyDescent="0.35">
      <c r="A76" s="47" t="s">
        <v>12</v>
      </c>
      <c r="B76" s="78">
        <v>1.7638989854293801</v>
      </c>
    </row>
    <row r="77" spans="1:3" x14ac:dyDescent="0.35">
      <c r="A77" s="46" t="s">
        <v>91</v>
      </c>
      <c r="B77" s="50">
        <v>2632.8</v>
      </c>
    </row>
    <row r="78" spans="1:3" x14ac:dyDescent="0.35">
      <c r="A78" s="47" t="s">
        <v>14</v>
      </c>
      <c r="B78" s="48">
        <v>28.160259888541525</v>
      </c>
    </row>
    <row r="79" spans="1:3" s="68" customFormat="1" ht="15" thickBot="1" x14ac:dyDescent="0.4">
      <c r="A79" s="67"/>
      <c r="B79" s="67"/>
      <c r="C79" s="67"/>
    </row>
    <row r="81" spans="1:7" x14ac:dyDescent="0.35">
      <c r="A81" s="66" t="s">
        <v>179</v>
      </c>
    </row>
    <row r="82" spans="1:7" x14ac:dyDescent="0.35">
      <c r="B82" s="69">
        <v>2020</v>
      </c>
    </row>
    <row r="83" spans="1:7" ht="15.5" x14ac:dyDescent="0.35">
      <c r="A83" s="2" t="s">
        <v>0</v>
      </c>
      <c r="B83" s="3">
        <v>4</v>
      </c>
      <c r="E83" s="63" t="s">
        <v>144</v>
      </c>
      <c r="F83" s="71">
        <f>0.6559-0.01</f>
        <v>0.64590000000000003</v>
      </c>
      <c r="G83" s="63" t="s">
        <v>145</v>
      </c>
    </row>
    <row r="84" spans="1:7" x14ac:dyDescent="0.35">
      <c r="A84" s="46" t="s">
        <v>164</v>
      </c>
      <c r="B84" s="6">
        <v>82584</v>
      </c>
      <c r="E84" s="65" t="s">
        <v>48</v>
      </c>
      <c r="F84" s="64">
        <v>0.25419999999999998</v>
      </c>
      <c r="G84" s="63" t="s">
        <v>147</v>
      </c>
    </row>
    <row r="85" spans="1:7" s="62" customFormat="1" x14ac:dyDescent="0.35">
      <c r="A85" s="47" t="s">
        <v>152</v>
      </c>
      <c r="B85" s="78">
        <v>6.6895287461677042E-2</v>
      </c>
      <c r="C85" s="78"/>
      <c r="E85" s="89" t="s">
        <v>146</v>
      </c>
      <c r="F85" s="90">
        <f>((1-F83)*F84)/(1-((1-F83)*F84))</f>
        <v>9.8915855771162103E-2</v>
      </c>
      <c r="G85" s="89" t="s">
        <v>148</v>
      </c>
    </row>
    <row r="86" spans="1:7" x14ac:dyDescent="0.35">
      <c r="A86" s="46" t="s">
        <v>1</v>
      </c>
      <c r="B86" s="19">
        <v>0.6204228421970357</v>
      </c>
    </row>
    <row r="87" spans="1:7" x14ac:dyDescent="0.35">
      <c r="A87" s="46" t="s">
        <v>50</v>
      </c>
      <c r="B87" s="19">
        <v>1.4973481546062191</v>
      </c>
    </row>
    <row r="88" spans="1:7" x14ac:dyDescent="0.35">
      <c r="A88" s="46" t="s">
        <v>2</v>
      </c>
      <c r="B88" s="19">
        <v>0.51454276857502668</v>
      </c>
    </row>
    <row r="89" spans="1:7" x14ac:dyDescent="0.35">
      <c r="A89" s="46" t="s">
        <v>3</v>
      </c>
      <c r="B89">
        <v>0</v>
      </c>
    </row>
    <row r="90" spans="1:7" x14ac:dyDescent="0.35">
      <c r="A90" s="46" t="s">
        <v>4</v>
      </c>
      <c r="B90">
        <v>0</v>
      </c>
    </row>
    <row r="91" spans="1:7" x14ac:dyDescent="0.35">
      <c r="A91" s="46" t="s">
        <v>178</v>
      </c>
      <c r="B91" s="49">
        <v>32635</v>
      </c>
    </row>
    <row r="92" spans="1:7" x14ac:dyDescent="0.35">
      <c r="A92" s="46" t="s">
        <v>5</v>
      </c>
      <c r="B92" s="49">
        <v>1064</v>
      </c>
    </row>
    <row r="93" spans="1:7" x14ac:dyDescent="0.35">
      <c r="A93" s="46" t="s">
        <v>79</v>
      </c>
      <c r="B93" s="49">
        <v>3120</v>
      </c>
    </row>
    <row r="94" spans="1:7" x14ac:dyDescent="0.35">
      <c r="A94" s="46" t="s">
        <v>82</v>
      </c>
      <c r="B94" s="49">
        <v>113890</v>
      </c>
    </row>
    <row r="95" spans="1:7" x14ac:dyDescent="0.35">
      <c r="A95" s="58" t="s">
        <v>174</v>
      </c>
      <c r="B95" s="70">
        <f>0.28768519777083-0.05</f>
        <v>0.23768519777083003</v>
      </c>
      <c r="C95" s="48"/>
    </row>
    <row r="96" spans="1:7" x14ac:dyDescent="0.35">
      <c r="A96" s="46" t="s">
        <v>51</v>
      </c>
      <c r="B96" s="48">
        <v>0.10808025701642723</v>
      </c>
    </row>
    <row r="97" spans="1:5" x14ac:dyDescent="0.35">
      <c r="A97" s="46" t="s">
        <v>177</v>
      </c>
      <c r="B97" s="48">
        <v>6.1590317144170365E-3</v>
      </c>
    </row>
    <row r="98" spans="1:5" x14ac:dyDescent="0.35">
      <c r="A98" s="47" t="s">
        <v>8</v>
      </c>
      <c r="B98" s="7">
        <v>1.1159031714417036E-2</v>
      </c>
    </row>
    <row r="99" spans="1:5" x14ac:dyDescent="0.35">
      <c r="A99" s="47" t="s">
        <v>9</v>
      </c>
      <c r="B99" s="48">
        <v>0.20219412961348446</v>
      </c>
    </row>
    <row r="100" spans="1:5" x14ac:dyDescent="0.35">
      <c r="A100" s="46" t="s">
        <v>10</v>
      </c>
      <c r="B100" s="7">
        <v>0.02</v>
      </c>
    </row>
    <row r="101" spans="1:5" x14ac:dyDescent="0.35">
      <c r="A101" s="46" t="s">
        <v>11</v>
      </c>
      <c r="B101" s="7">
        <v>0.01</v>
      </c>
    </row>
    <row r="102" spans="1:5" x14ac:dyDescent="0.35">
      <c r="A102" s="47" t="s">
        <v>12</v>
      </c>
      <c r="B102" s="78">
        <v>1.7638989854293801</v>
      </c>
    </row>
    <row r="103" spans="1:5" x14ac:dyDescent="0.35">
      <c r="A103" s="46" t="s">
        <v>91</v>
      </c>
      <c r="B103" s="50">
        <v>2632.8</v>
      </c>
    </row>
    <row r="104" spans="1:5" x14ac:dyDescent="0.35">
      <c r="A104" s="47" t="s">
        <v>14</v>
      </c>
      <c r="B104" s="48">
        <v>28.160259888541525</v>
      </c>
    </row>
    <row r="106" spans="1:5" s="68" customFormat="1" ht="15" thickBot="1" x14ac:dyDescent="0.4">
      <c r="A106" s="67"/>
      <c r="B106" s="67"/>
      <c r="C106" s="67"/>
    </row>
    <row r="109" spans="1:5" x14ac:dyDescent="0.35">
      <c r="A109" s="66" t="s">
        <v>161</v>
      </c>
    </row>
    <row r="110" spans="1:5" x14ac:dyDescent="0.35">
      <c r="B110" s="69">
        <v>2020</v>
      </c>
      <c r="E110" s="79"/>
    </row>
    <row r="111" spans="1:5" ht="15.5" x14ac:dyDescent="0.35">
      <c r="A111" s="2" t="s">
        <v>0</v>
      </c>
      <c r="B111" s="3">
        <v>4</v>
      </c>
    </row>
    <row r="112" spans="1:5" x14ac:dyDescent="0.35">
      <c r="A112" s="46" t="s">
        <v>164</v>
      </c>
      <c r="B112" s="6">
        <v>82584</v>
      </c>
    </row>
    <row r="113" spans="1:2" x14ac:dyDescent="0.35">
      <c r="A113" s="58" t="s">
        <v>175</v>
      </c>
      <c r="B113" s="70">
        <f>0.0669+0.02</f>
        <v>8.6900000000000005E-2</v>
      </c>
    </row>
    <row r="114" spans="1:2" x14ac:dyDescent="0.35">
      <c r="A114" s="47" t="s">
        <v>1</v>
      </c>
      <c r="B114" s="19">
        <v>0.6204228421970357</v>
      </c>
    </row>
    <row r="115" spans="1:2" x14ac:dyDescent="0.35">
      <c r="A115" s="47" t="s">
        <v>50</v>
      </c>
      <c r="B115" s="19">
        <v>1.4973481546062191</v>
      </c>
    </row>
    <row r="116" spans="1:2" x14ac:dyDescent="0.35">
      <c r="A116" s="47" t="s">
        <v>2</v>
      </c>
      <c r="B116" s="19">
        <v>0.51454276857502668</v>
      </c>
    </row>
    <row r="117" spans="1:2" x14ac:dyDescent="0.35">
      <c r="A117" s="47" t="s">
        <v>3</v>
      </c>
      <c r="B117">
        <v>0</v>
      </c>
    </row>
    <row r="118" spans="1:2" x14ac:dyDescent="0.35">
      <c r="A118" s="47" t="s">
        <v>4</v>
      </c>
      <c r="B118">
        <v>0</v>
      </c>
    </row>
    <row r="119" spans="1:2" x14ac:dyDescent="0.35">
      <c r="A119" s="47" t="s">
        <v>178</v>
      </c>
      <c r="B119" s="49">
        <v>32635</v>
      </c>
    </row>
    <row r="120" spans="1:2" x14ac:dyDescent="0.35">
      <c r="A120" s="47" t="s">
        <v>5</v>
      </c>
      <c r="B120" s="49">
        <v>1064</v>
      </c>
    </row>
    <row r="121" spans="1:2" x14ac:dyDescent="0.35">
      <c r="A121" s="47" t="s">
        <v>79</v>
      </c>
      <c r="B121" s="49">
        <v>3120</v>
      </c>
    </row>
    <row r="122" spans="1:2" x14ac:dyDescent="0.35">
      <c r="A122" s="47" t="s">
        <v>82</v>
      </c>
      <c r="B122" s="49">
        <v>113890</v>
      </c>
    </row>
    <row r="123" spans="1:2" x14ac:dyDescent="0.35">
      <c r="A123" s="47" t="s">
        <v>7</v>
      </c>
      <c r="B123" s="48">
        <v>0.28768519777083046</v>
      </c>
    </row>
    <row r="124" spans="1:2" x14ac:dyDescent="0.35">
      <c r="A124" s="46" t="s">
        <v>51</v>
      </c>
      <c r="B124" s="48">
        <v>0.10808025701642723</v>
      </c>
    </row>
    <row r="125" spans="1:2" x14ac:dyDescent="0.35">
      <c r="A125" s="46" t="s">
        <v>177</v>
      </c>
      <c r="B125" s="48">
        <v>6.1590317144170365E-3</v>
      </c>
    </row>
    <row r="126" spans="1:2" x14ac:dyDescent="0.35">
      <c r="A126" s="47" t="s">
        <v>8</v>
      </c>
      <c r="B126" s="7">
        <v>1.1159031714417036E-2</v>
      </c>
    </row>
    <row r="127" spans="1:2" x14ac:dyDescent="0.35">
      <c r="A127" s="47" t="s">
        <v>9</v>
      </c>
      <c r="B127" s="48">
        <v>0.20219412961348446</v>
      </c>
    </row>
    <row r="128" spans="1:2" x14ac:dyDescent="0.35">
      <c r="A128" s="46" t="s">
        <v>10</v>
      </c>
      <c r="B128" s="7">
        <v>0.02</v>
      </c>
    </row>
    <row r="129" spans="1:5" x14ac:dyDescent="0.35">
      <c r="A129" s="46" t="s">
        <v>11</v>
      </c>
      <c r="B129" s="7">
        <v>0.01</v>
      </c>
    </row>
    <row r="130" spans="1:5" x14ac:dyDescent="0.35">
      <c r="A130" s="47" t="s">
        <v>12</v>
      </c>
      <c r="B130" s="78">
        <v>1.7638989854293801</v>
      </c>
    </row>
    <row r="131" spans="1:5" x14ac:dyDescent="0.35">
      <c r="A131" s="46" t="s">
        <v>91</v>
      </c>
      <c r="B131" s="50">
        <v>2632.8</v>
      </c>
    </row>
    <row r="132" spans="1:5" x14ac:dyDescent="0.35">
      <c r="A132" s="47" t="s">
        <v>14</v>
      </c>
      <c r="B132" s="48">
        <v>28.160259888541525</v>
      </c>
    </row>
    <row r="134" spans="1:5" s="68" customFormat="1" ht="15" thickBot="1" x14ac:dyDescent="0.4">
      <c r="A134" s="67"/>
      <c r="B134" s="67"/>
      <c r="C134" s="67"/>
    </row>
    <row r="137" spans="1:5" x14ac:dyDescent="0.35">
      <c r="A137" s="66" t="s">
        <v>162</v>
      </c>
    </row>
    <row r="138" spans="1:5" x14ac:dyDescent="0.35">
      <c r="B138" s="69">
        <v>2020</v>
      </c>
      <c r="E138" s="79"/>
    </row>
    <row r="139" spans="1:5" ht="15.5" x14ac:dyDescent="0.35">
      <c r="A139" s="2" t="s">
        <v>0</v>
      </c>
      <c r="B139" s="3">
        <v>4</v>
      </c>
    </row>
    <row r="140" spans="1:5" x14ac:dyDescent="0.35">
      <c r="A140" s="46" t="s">
        <v>164</v>
      </c>
      <c r="B140" s="6">
        <v>82584</v>
      </c>
    </row>
    <row r="141" spans="1:5" x14ac:dyDescent="0.35">
      <c r="A141" s="58" t="s">
        <v>175</v>
      </c>
      <c r="B141" s="70">
        <f>0.066895287461677-0.02</f>
        <v>4.6895287461676996E-2</v>
      </c>
    </row>
    <row r="142" spans="1:5" x14ac:dyDescent="0.35">
      <c r="A142" s="47" t="s">
        <v>1</v>
      </c>
      <c r="B142" s="19">
        <v>0.6204228421970357</v>
      </c>
    </row>
    <row r="143" spans="1:5" x14ac:dyDescent="0.35">
      <c r="A143" s="47" t="s">
        <v>50</v>
      </c>
      <c r="B143" s="19">
        <v>1.4973481546062191</v>
      </c>
    </row>
    <row r="144" spans="1:5" x14ac:dyDescent="0.35">
      <c r="A144" s="47" t="s">
        <v>2</v>
      </c>
      <c r="B144" s="19">
        <v>0.51454276857502668</v>
      </c>
    </row>
    <row r="145" spans="1:2" x14ac:dyDescent="0.35">
      <c r="A145" s="47" t="s">
        <v>3</v>
      </c>
      <c r="B145">
        <v>0</v>
      </c>
    </row>
    <row r="146" spans="1:2" x14ac:dyDescent="0.35">
      <c r="A146" s="47" t="s">
        <v>4</v>
      </c>
      <c r="B146">
        <v>0</v>
      </c>
    </row>
    <row r="147" spans="1:2" x14ac:dyDescent="0.35">
      <c r="A147" s="47" t="s">
        <v>178</v>
      </c>
      <c r="B147" s="49">
        <v>32635</v>
      </c>
    </row>
    <row r="148" spans="1:2" x14ac:dyDescent="0.35">
      <c r="A148" s="47" t="s">
        <v>5</v>
      </c>
      <c r="B148" s="49">
        <v>1064</v>
      </c>
    </row>
    <row r="149" spans="1:2" x14ac:dyDescent="0.35">
      <c r="A149" s="47" t="s">
        <v>79</v>
      </c>
      <c r="B149" s="49">
        <v>3120</v>
      </c>
    </row>
    <row r="150" spans="1:2" x14ac:dyDescent="0.35">
      <c r="A150" s="47" t="s">
        <v>82</v>
      </c>
      <c r="B150" s="49">
        <v>113890</v>
      </c>
    </row>
    <row r="151" spans="1:2" x14ac:dyDescent="0.35">
      <c r="A151" s="47" t="s">
        <v>7</v>
      </c>
      <c r="B151" s="48">
        <v>0.28768519777083046</v>
      </c>
    </row>
    <row r="152" spans="1:2" x14ac:dyDescent="0.35">
      <c r="A152" s="46" t="s">
        <v>51</v>
      </c>
      <c r="B152" s="48">
        <v>0.10808025701642723</v>
      </c>
    </row>
    <row r="153" spans="1:2" x14ac:dyDescent="0.35">
      <c r="A153" s="46" t="s">
        <v>177</v>
      </c>
      <c r="B153" s="48">
        <v>6.1590317144170365E-3</v>
      </c>
    </row>
    <row r="154" spans="1:2" x14ac:dyDescent="0.35">
      <c r="A154" s="47" t="s">
        <v>8</v>
      </c>
      <c r="B154" s="7">
        <v>1.1159031714417036E-2</v>
      </c>
    </row>
    <row r="155" spans="1:2" x14ac:dyDescent="0.35">
      <c r="A155" s="47" t="s">
        <v>9</v>
      </c>
      <c r="B155" s="48">
        <v>0.20219412961348446</v>
      </c>
    </row>
    <row r="156" spans="1:2" x14ac:dyDescent="0.35">
      <c r="A156" s="46" t="s">
        <v>10</v>
      </c>
      <c r="B156" s="7">
        <v>0.02</v>
      </c>
    </row>
    <row r="157" spans="1:2" x14ac:dyDescent="0.35">
      <c r="A157" s="46" t="s">
        <v>11</v>
      </c>
      <c r="B157" s="7">
        <v>0.01</v>
      </c>
    </row>
    <row r="158" spans="1:2" x14ac:dyDescent="0.35">
      <c r="A158" s="47" t="s">
        <v>12</v>
      </c>
      <c r="B158" s="78">
        <v>1.7638989854293801</v>
      </c>
    </row>
    <row r="159" spans="1:2" x14ac:dyDescent="0.35">
      <c r="A159" s="46" t="s">
        <v>91</v>
      </c>
      <c r="B159" s="50">
        <v>2632.8</v>
      </c>
    </row>
    <row r="160" spans="1:2" x14ac:dyDescent="0.35">
      <c r="A160" s="47" t="s">
        <v>14</v>
      </c>
      <c r="B160" s="48">
        <v>28.160259888541525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040D3-040B-491D-B43F-E1A2A8DCF297}">
  <dimension ref="A1:D31"/>
  <sheetViews>
    <sheetView workbookViewId="0">
      <selection activeCell="F35" sqref="F35"/>
    </sheetView>
  </sheetViews>
  <sheetFormatPr defaultRowHeight="14.5" x14ac:dyDescent="0.35"/>
  <cols>
    <col min="1" max="1" width="25.6328125" customWidth="1"/>
    <col min="3" max="3" width="9.36328125" bestFit="1" customWidth="1"/>
    <col min="4" max="4" width="13.90625" style="29" customWidth="1"/>
  </cols>
  <sheetData>
    <row r="1" spans="1:4" x14ac:dyDescent="0.35">
      <c r="B1" t="s">
        <v>52</v>
      </c>
      <c r="C1" t="s">
        <v>53</v>
      </c>
      <c r="D1" s="29" t="s">
        <v>54</v>
      </c>
    </row>
    <row r="2" spans="1:4" x14ac:dyDescent="0.35">
      <c r="A2" t="s">
        <v>18</v>
      </c>
      <c r="B2">
        <v>90357.06</v>
      </c>
      <c r="C2" s="24">
        <v>82059</v>
      </c>
      <c r="D2" s="31">
        <f>(C2-B2)/C2</f>
        <v>-0.10112309435893684</v>
      </c>
    </row>
    <row r="3" spans="1:4" x14ac:dyDescent="0.35">
      <c r="A3" t="s">
        <v>19</v>
      </c>
      <c r="B3">
        <v>21048.35</v>
      </c>
      <c r="C3" s="24">
        <v>23416</v>
      </c>
      <c r="D3" s="31">
        <f t="shared" ref="D3:D28" si="0">(C3-B3)/C3</f>
        <v>0.10111248718824742</v>
      </c>
    </row>
    <row r="4" spans="1:4" x14ac:dyDescent="0.35">
      <c r="A4" t="s">
        <v>20</v>
      </c>
      <c r="B4">
        <v>3010.16</v>
      </c>
      <c r="C4" s="25">
        <v>318</v>
      </c>
      <c r="D4" s="31">
        <f>(C4-B4)/C4</f>
        <v>-8.465911949685534</v>
      </c>
    </row>
    <row r="5" spans="1:4" x14ac:dyDescent="0.35">
      <c r="A5" t="s">
        <v>22</v>
      </c>
      <c r="B5" s="22">
        <v>16917.740000000002</v>
      </c>
      <c r="C5" s="24">
        <v>17328</v>
      </c>
      <c r="D5" s="31">
        <f t="shared" si="0"/>
        <v>2.3676131117266758E-2</v>
      </c>
    </row>
    <row r="6" spans="1:4" x14ac:dyDescent="0.35">
      <c r="A6" t="s">
        <v>23</v>
      </c>
      <c r="B6">
        <v>2539.6799999999998</v>
      </c>
      <c r="C6" s="24">
        <v>2209</v>
      </c>
      <c r="D6" s="31">
        <f>(C6-B6)/C6</f>
        <v>-0.1496966953372566</v>
      </c>
    </row>
    <row r="7" spans="1:4" x14ac:dyDescent="0.35">
      <c r="A7" t="s">
        <v>24</v>
      </c>
      <c r="B7" s="21">
        <v>14378.06</v>
      </c>
      <c r="C7" s="24">
        <v>15119</v>
      </c>
      <c r="D7" s="31">
        <f>(C7-B7)/C7</f>
        <v>4.9007209471525925E-2</v>
      </c>
    </row>
    <row r="8" spans="1:4" x14ac:dyDescent="0.35">
      <c r="A8" t="s">
        <v>25</v>
      </c>
      <c r="B8" s="21">
        <v>0</v>
      </c>
      <c r="C8" s="25">
        <v>0</v>
      </c>
      <c r="D8" s="31"/>
    </row>
    <row r="9" spans="1:4" x14ac:dyDescent="0.35">
      <c r="A9" t="s">
        <v>27</v>
      </c>
      <c r="B9" s="21">
        <v>14378.06</v>
      </c>
      <c r="C9" s="24">
        <v>9917</v>
      </c>
      <c r="D9" s="31">
        <f t="shared" si="0"/>
        <v>-0.44983966925481489</v>
      </c>
    </row>
    <row r="10" spans="1:4" x14ac:dyDescent="0.35">
      <c r="A10" t="s">
        <v>28</v>
      </c>
      <c r="B10" s="22">
        <v>1555</v>
      </c>
      <c r="C10" s="24">
        <v>2823</v>
      </c>
      <c r="D10" s="31">
        <f t="shared" si="0"/>
        <v>0.4491675522493801</v>
      </c>
    </row>
    <row r="11" spans="1:4" x14ac:dyDescent="0.35">
      <c r="D11" s="31"/>
    </row>
    <row r="12" spans="1:4" x14ac:dyDescent="0.35">
      <c r="A12" s="23" t="s">
        <v>31</v>
      </c>
      <c r="D12" s="31"/>
    </row>
    <row r="13" spans="1:4" x14ac:dyDescent="0.35">
      <c r="A13" t="s">
        <v>32</v>
      </c>
      <c r="B13" s="21">
        <v>50984.99</v>
      </c>
      <c r="C13" s="24">
        <v>45274</v>
      </c>
      <c r="D13" s="31">
        <f t="shared" si="0"/>
        <v>-0.12614281927817286</v>
      </c>
    </row>
    <row r="14" spans="1:4" x14ac:dyDescent="0.35">
      <c r="A14" t="s">
        <v>33</v>
      </c>
      <c r="B14" s="21">
        <v>118423</v>
      </c>
      <c r="C14" s="24">
        <v>17658</v>
      </c>
      <c r="D14" s="31">
        <f t="shared" si="0"/>
        <v>-5.7064786499037261</v>
      </c>
    </row>
    <row r="15" spans="1:4" x14ac:dyDescent="0.35">
      <c r="A15" t="s">
        <v>34</v>
      </c>
      <c r="B15" s="21">
        <v>169407.99</v>
      </c>
      <c r="C15" s="24">
        <v>157728</v>
      </c>
      <c r="D15" s="31">
        <f t="shared" si="0"/>
        <v>-7.4051468350578145E-2</v>
      </c>
    </row>
    <row r="16" spans="1:4" x14ac:dyDescent="0.35">
      <c r="A16" s="23" t="s">
        <v>35</v>
      </c>
      <c r="D16" s="31"/>
    </row>
    <row r="17" spans="1:4" x14ac:dyDescent="0.35">
      <c r="A17" t="s">
        <v>36</v>
      </c>
      <c r="B17" s="21">
        <v>34589.56</v>
      </c>
      <c r="C17" s="24">
        <v>35964</v>
      </c>
      <c r="D17" s="31">
        <f t="shared" si="0"/>
        <v>3.8217105994883836E-2</v>
      </c>
    </row>
    <row r="18" spans="1:4" x14ac:dyDescent="0.35">
      <c r="A18" t="s">
        <v>37</v>
      </c>
      <c r="B18" s="21">
        <v>82151.149999999994</v>
      </c>
      <c r="C18" s="24">
        <v>26494</v>
      </c>
      <c r="D18" s="31">
        <f t="shared" si="0"/>
        <v>-2.1007454518004076</v>
      </c>
    </row>
    <row r="19" spans="1:4" x14ac:dyDescent="0.35">
      <c r="A19" t="s">
        <v>38</v>
      </c>
      <c r="B19" s="21">
        <v>0</v>
      </c>
      <c r="C19" s="25">
        <v>0</v>
      </c>
      <c r="D19" s="31"/>
    </row>
    <row r="20" spans="1:4" x14ac:dyDescent="0.35">
      <c r="A20" t="s">
        <v>39</v>
      </c>
      <c r="B20" s="21">
        <v>-59003.12</v>
      </c>
      <c r="C20" s="24">
        <v>3120</v>
      </c>
      <c r="D20" s="31">
        <f t="shared" si="0"/>
        <v>19.91125641025641</v>
      </c>
    </row>
    <row r="21" spans="1:4" x14ac:dyDescent="0.35">
      <c r="A21" t="s">
        <v>40</v>
      </c>
      <c r="B21" s="21">
        <v>111670.39999999999</v>
      </c>
      <c r="C21" s="24">
        <v>110659</v>
      </c>
      <c r="D21" s="31">
        <f t="shared" si="0"/>
        <v>-9.1397898047153349E-3</v>
      </c>
    </row>
    <row r="22" spans="1:4" x14ac:dyDescent="0.35">
      <c r="A22" s="29" t="s">
        <v>41</v>
      </c>
      <c r="B22">
        <f>SUM(B17:B21)</f>
        <v>169407.99</v>
      </c>
      <c r="C22">
        <f>SUM(C17:C21)</f>
        <v>176237</v>
      </c>
      <c r="D22" s="31">
        <f t="shared" si="0"/>
        <v>3.8749014111679213E-2</v>
      </c>
    </row>
    <row r="23" spans="1:4" x14ac:dyDescent="0.35">
      <c r="A23" s="29" t="s">
        <v>42</v>
      </c>
      <c r="B23">
        <v>1.56</v>
      </c>
      <c r="C23" s="32">
        <v>1.6521834171276757</v>
      </c>
      <c r="D23" s="31">
        <f t="shared" si="0"/>
        <v>5.5794905197594044E-2</v>
      </c>
    </row>
    <row r="24" spans="1:4" x14ac:dyDescent="0.35">
      <c r="A24" s="29" t="s">
        <v>43</v>
      </c>
      <c r="B24">
        <v>0.04</v>
      </c>
      <c r="C24" s="32">
        <v>1.2002717596436929E-2</v>
      </c>
      <c r="D24" s="33">
        <f t="shared" si="0"/>
        <v>-2.3325786163522011</v>
      </c>
    </row>
    <row r="25" spans="1:4" x14ac:dyDescent="0.35">
      <c r="A25" s="23" t="s">
        <v>44</v>
      </c>
      <c r="D25" s="31"/>
    </row>
    <row r="26" spans="1:4" x14ac:dyDescent="0.35">
      <c r="A26" t="s">
        <v>45</v>
      </c>
      <c r="B26" s="21">
        <v>6.4108999999999998</v>
      </c>
      <c r="C26" s="25">
        <v>5.72</v>
      </c>
      <c r="D26" s="31">
        <f t="shared" si="0"/>
        <v>-0.12078671328671331</v>
      </c>
    </row>
    <row r="27" spans="1:4" x14ac:dyDescent="0.35">
      <c r="A27" t="s">
        <v>46</v>
      </c>
      <c r="B27" s="21">
        <v>3.9788999999999999</v>
      </c>
      <c r="C27" s="25">
        <v>3.75</v>
      </c>
      <c r="D27" s="31">
        <f t="shared" si="0"/>
        <v>-6.1039999999999969E-2</v>
      </c>
    </row>
    <row r="28" spans="1:4" x14ac:dyDescent="0.35">
      <c r="A28" s="26" t="s">
        <v>47</v>
      </c>
      <c r="B28" s="27">
        <v>143.0258</v>
      </c>
      <c r="C28" s="28">
        <v>145.75</v>
      </c>
      <c r="D28" s="31">
        <f t="shared" si="0"/>
        <v>1.8690909090909064E-2</v>
      </c>
    </row>
    <row r="29" spans="1:4" x14ac:dyDescent="0.35">
      <c r="A29" s="26"/>
      <c r="B29" s="26"/>
      <c r="C29" s="26"/>
    </row>
    <row r="30" spans="1:4" x14ac:dyDescent="0.35">
      <c r="A30" s="26"/>
      <c r="B30" s="26"/>
      <c r="C30" s="26"/>
      <c r="D30" s="30"/>
    </row>
    <row r="31" spans="1:4" x14ac:dyDescent="0.35">
      <c r="A31" s="26"/>
      <c r="B31" s="26"/>
      <c r="C31" s="26"/>
      <c r="D31" s="30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B5FF-17E1-4EDA-ACE8-852FF85AA6AA}">
  <dimension ref="A1:D42"/>
  <sheetViews>
    <sheetView workbookViewId="0">
      <selection activeCell="E45" sqref="E45"/>
    </sheetView>
  </sheetViews>
  <sheetFormatPr defaultRowHeight="14.5" x14ac:dyDescent="0.35"/>
  <cols>
    <col min="1" max="1" width="16.453125" customWidth="1"/>
    <col min="2" max="2" width="32.54296875" customWidth="1"/>
    <col min="3" max="3" width="28" customWidth="1"/>
  </cols>
  <sheetData>
    <row r="1" spans="1:4" ht="15.5" customHeight="1" x14ac:dyDescent="0.35">
      <c r="A1" s="34" t="s">
        <v>55</v>
      </c>
      <c r="B1" s="35" t="s">
        <v>56</v>
      </c>
      <c r="C1" s="36" t="s">
        <v>57</v>
      </c>
      <c r="D1" s="36" t="s">
        <v>58</v>
      </c>
    </row>
    <row r="2" spans="1:4" ht="15.5" customHeight="1" x14ac:dyDescent="0.35">
      <c r="A2" s="37" t="s">
        <v>59</v>
      </c>
      <c r="B2" s="38" t="s">
        <v>18</v>
      </c>
      <c r="C2" s="6">
        <v>76450</v>
      </c>
    </row>
    <row r="3" spans="1:4" ht="15.5" customHeight="1" x14ac:dyDescent="0.35">
      <c r="A3" s="37" t="s">
        <v>60</v>
      </c>
      <c r="B3" s="38" t="s">
        <v>61</v>
      </c>
      <c r="C3" s="6">
        <v>43088</v>
      </c>
    </row>
    <row r="4" spans="1:4" ht="15.5" customHeight="1" x14ac:dyDescent="0.35">
      <c r="A4" s="37" t="s">
        <v>62</v>
      </c>
      <c r="B4" s="38" t="s">
        <v>63</v>
      </c>
      <c r="C4" s="6">
        <v>17005</v>
      </c>
    </row>
    <row r="5" spans="1:4" ht="15.5" customHeight="1" x14ac:dyDescent="0.35">
      <c r="A5" s="37" t="s">
        <v>64</v>
      </c>
      <c r="B5" s="38" t="s">
        <v>65</v>
      </c>
      <c r="C5" s="6">
        <v>157303</v>
      </c>
    </row>
    <row r="6" spans="1:4" ht="15.5" customHeight="1" x14ac:dyDescent="0.35">
      <c r="A6" s="37" t="s">
        <v>66</v>
      </c>
      <c r="B6" s="38" t="s">
        <v>67</v>
      </c>
      <c r="C6" s="6">
        <v>30537</v>
      </c>
    </row>
    <row r="7" spans="1:4" ht="15.5" customHeight="1" x14ac:dyDescent="0.35">
      <c r="A7" s="37" t="s">
        <v>68</v>
      </c>
      <c r="B7" s="38" t="s">
        <v>69</v>
      </c>
    </row>
    <row r="8" spans="1:4" ht="15.5" customHeight="1" x14ac:dyDescent="0.35">
      <c r="A8" s="37" t="s">
        <v>70</v>
      </c>
      <c r="B8" s="38" t="s">
        <v>49</v>
      </c>
      <c r="C8" s="6">
        <v>17673</v>
      </c>
    </row>
    <row r="9" spans="1:4" ht="15.5" customHeight="1" x14ac:dyDescent="0.35">
      <c r="A9" s="37" t="s">
        <v>71</v>
      </c>
      <c r="B9" s="38" t="s">
        <v>72</v>
      </c>
      <c r="C9" s="39">
        <v>8992</v>
      </c>
    </row>
    <row r="10" spans="1:4" ht="15.5" customHeight="1" x14ac:dyDescent="0.35">
      <c r="A10" s="37" t="s">
        <v>73</v>
      </c>
      <c r="B10" s="38" t="s">
        <v>74</v>
      </c>
      <c r="C10" s="6">
        <v>0</v>
      </c>
      <c r="D10" t="s">
        <v>75</v>
      </c>
    </row>
    <row r="11" spans="1:4" ht="15.5" customHeight="1" x14ac:dyDescent="0.35">
      <c r="A11" s="37" t="s">
        <v>76</v>
      </c>
      <c r="B11" s="38" t="s">
        <v>77</v>
      </c>
      <c r="C11" s="6">
        <v>97143</v>
      </c>
    </row>
    <row r="12" spans="1:4" ht="15.5" customHeight="1" x14ac:dyDescent="0.35">
      <c r="A12" s="37" t="s">
        <v>78</v>
      </c>
      <c r="B12" s="38" t="s">
        <v>79</v>
      </c>
      <c r="C12" s="6">
        <v>3120</v>
      </c>
      <c r="D12" t="s">
        <v>80</v>
      </c>
    </row>
    <row r="13" spans="1:4" ht="15.5" customHeight="1" x14ac:dyDescent="0.35">
      <c r="A13" s="37" t="s">
        <v>81</v>
      </c>
      <c r="B13" s="38" t="s">
        <v>82</v>
      </c>
      <c r="C13" s="6">
        <v>101793</v>
      </c>
    </row>
    <row r="14" spans="1:4" ht="15.5" customHeight="1" x14ac:dyDescent="0.35">
      <c r="A14" s="37" t="s">
        <v>83</v>
      </c>
      <c r="B14" s="38" t="s">
        <v>84</v>
      </c>
      <c r="C14" s="40">
        <v>3.1899999999999998E-2</v>
      </c>
      <c r="D14" t="s">
        <v>85</v>
      </c>
    </row>
    <row r="15" spans="1:4" ht="15.5" customHeight="1" x14ac:dyDescent="0.35">
      <c r="A15" s="37" t="s">
        <v>86</v>
      </c>
      <c r="B15" s="38" t="s">
        <v>87</v>
      </c>
      <c r="C15" s="6">
        <v>1300</v>
      </c>
    </row>
    <row r="16" spans="1:4" ht="15.5" customHeight="1" x14ac:dyDescent="0.35">
      <c r="A16" s="37" t="s">
        <v>88</v>
      </c>
      <c r="B16" s="38" t="s">
        <v>89</v>
      </c>
      <c r="C16" s="41">
        <v>-8943</v>
      </c>
    </row>
    <row r="17" spans="1:4" ht="15.5" customHeight="1" x14ac:dyDescent="0.35">
      <c r="A17" s="37" t="s">
        <v>90</v>
      </c>
      <c r="B17" s="38" t="s">
        <v>91</v>
      </c>
      <c r="C17" s="39">
        <v>3119.8429999999998</v>
      </c>
    </row>
    <row r="18" spans="1:4" ht="15.5" customHeight="1" x14ac:dyDescent="0.35">
      <c r="A18" s="37" t="s">
        <v>92</v>
      </c>
      <c r="B18" s="38" t="s">
        <v>93</v>
      </c>
      <c r="C18">
        <v>0</v>
      </c>
    </row>
    <row r="19" spans="1:4" ht="15.5" customHeight="1" x14ac:dyDescent="0.35">
      <c r="A19" s="37" t="s">
        <v>94</v>
      </c>
      <c r="B19" s="38" t="s">
        <v>95</v>
      </c>
      <c r="C19">
        <v>139.72</v>
      </c>
    </row>
    <row r="20" spans="1:4" ht="15.5" customHeight="1" x14ac:dyDescent="0.35">
      <c r="A20" s="37" t="s">
        <v>96</v>
      </c>
      <c r="B20" s="38" t="s">
        <v>97</v>
      </c>
      <c r="C20">
        <v>0.48291233283803864</v>
      </c>
    </row>
    <row r="21" spans="1:4" ht="15.5" customHeight="1" x14ac:dyDescent="0.35">
      <c r="A21" s="37" t="s">
        <v>98</v>
      </c>
      <c r="B21" s="38" t="s">
        <v>99</v>
      </c>
      <c r="C21">
        <v>3.322065378900446</v>
      </c>
    </row>
    <row r="22" spans="1:4" ht="15.5" customHeight="1" x14ac:dyDescent="0.35">
      <c r="A22" s="37" t="s">
        <v>100</v>
      </c>
      <c r="B22" s="38" t="s">
        <v>101</v>
      </c>
      <c r="C22" s="39">
        <v>71890</v>
      </c>
    </row>
    <row r="23" spans="1:4" ht="15.5" customHeight="1" x14ac:dyDescent="0.35">
      <c r="A23" s="37" t="s">
        <v>102</v>
      </c>
      <c r="B23" s="38" t="s">
        <v>103</v>
      </c>
      <c r="C23" s="42">
        <f>(C2-C22)/C22</f>
        <v>6.3430240645430513E-2</v>
      </c>
    </row>
    <row r="24" spans="1:4" ht="15.5" customHeight="1" x14ac:dyDescent="0.35">
      <c r="A24" s="37" t="s">
        <v>104</v>
      </c>
      <c r="B24" s="38" t="s">
        <v>1</v>
      </c>
      <c r="C24" s="42">
        <f>C3/C2</f>
        <v>0.56361020274689344</v>
      </c>
    </row>
    <row r="25" spans="1:4" ht="15.5" customHeight="1" x14ac:dyDescent="0.35">
      <c r="A25" s="37" t="s">
        <v>105</v>
      </c>
      <c r="B25" s="38" t="s">
        <v>106</v>
      </c>
      <c r="C25" s="42">
        <f>C4/C2</f>
        <v>0.22243296272073251</v>
      </c>
    </row>
    <row r="26" spans="1:4" ht="15.5" customHeight="1" x14ac:dyDescent="0.35">
      <c r="A26" s="37" t="s">
        <v>107</v>
      </c>
      <c r="B26" s="38" t="s">
        <v>108</v>
      </c>
      <c r="C26" s="42">
        <f>C6/C2</f>
        <v>0.39943754087638977</v>
      </c>
    </row>
    <row r="27" spans="1:4" ht="15.5" customHeight="1" x14ac:dyDescent="0.35">
      <c r="A27" s="37" t="s">
        <v>109</v>
      </c>
      <c r="B27" s="38" t="s">
        <v>3</v>
      </c>
      <c r="C27">
        <v>0</v>
      </c>
    </row>
    <row r="28" spans="1:4" ht="15.5" customHeight="1" x14ac:dyDescent="0.35">
      <c r="A28" s="37" t="s">
        <v>110</v>
      </c>
      <c r="B28" s="38" t="s">
        <v>4</v>
      </c>
      <c r="C28">
        <v>0</v>
      </c>
    </row>
    <row r="29" spans="1:4" ht="15.5" customHeight="1" x14ac:dyDescent="0.35">
      <c r="A29" s="37" t="s">
        <v>111</v>
      </c>
      <c r="B29" s="38" t="s">
        <v>112</v>
      </c>
      <c r="C29" s="39">
        <v>22442</v>
      </c>
    </row>
    <row r="30" spans="1:4" ht="15.5" customHeight="1" x14ac:dyDescent="0.35">
      <c r="A30" s="37" t="s">
        <v>113</v>
      </c>
      <c r="B30" s="38" t="s">
        <v>114</v>
      </c>
      <c r="C30">
        <v>3107</v>
      </c>
      <c r="D30" t="s">
        <v>115</v>
      </c>
    </row>
    <row r="31" spans="1:4" ht="15.5" customHeight="1" x14ac:dyDescent="0.35">
      <c r="A31" s="37" t="s">
        <v>116</v>
      </c>
      <c r="B31" s="38" t="s">
        <v>117</v>
      </c>
      <c r="C31" s="39">
        <v>3120</v>
      </c>
    </row>
    <row r="32" spans="1:4" ht="15.5" customHeight="1" x14ac:dyDescent="0.35">
      <c r="A32" s="37" t="s">
        <v>118</v>
      </c>
      <c r="B32" s="38" t="s">
        <v>6</v>
      </c>
      <c r="C32" s="39">
        <v>110551</v>
      </c>
    </row>
    <row r="33" spans="1:4" ht="15.5" customHeight="1" x14ac:dyDescent="0.35">
      <c r="A33" s="37" t="s">
        <v>119</v>
      </c>
      <c r="B33" s="38" t="s">
        <v>7</v>
      </c>
      <c r="C33" s="42">
        <f>1-0.06879230769</f>
        <v>0.93120769231</v>
      </c>
      <c r="D33" t="s">
        <v>120</v>
      </c>
    </row>
    <row r="34" spans="1:4" ht="15.5" customHeight="1" x14ac:dyDescent="0.35">
      <c r="A34" s="37" t="s">
        <v>121</v>
      </c>
      <c r="B34" s="38" t="s">
        <v>51</v>
      </c>
      <c r="C34" s="43">
        <v>0.35</v>
      </c>
    </row>
    <row r="35" spans="1:4" ht="15.5" customHeight="1" x14ac:dyDescent="0.35">
      <c r="A35" s="37" t="s">
        <v>122</v>
      </c>
      <c r="B35" s="38" t="s">
        <v>123</v>
      </c>
      <c r="C35" s="44">
        <v>3.33</v>
      </c>
    </row>
    <row r="36" spans="1:4" ht="15.5" customHeight="1" x14ac:dyDescent="0.35">
      <c r="A36" s="37" t="s">
        <v>124</v>
      </c>
      <c r="B36" s="38" t="s">
        <v>8</v>
      </c>
      <c r="C36" s="42">
        <v>3.2599999999999997E-2</v>
      </c>
      <c r="D36" t="s">
        <v>125</v>
      </c>
    </row>
    <row r="37" spans="1:4" ht="15.5" customHeight="1" x14ac:dyDescent="0.35">
      <c r="A37" s="37" t="s">
        <v>70</v>
      </c>
      <c r="B37" s="38" t="s">
        <v>126</v>
      </c>
      <c r="C37" s="42">
        <f>1300/C2</f>
        <v>1.7004578155657292E-2</v>
      </c>
    </row>
    <row r="38" spans="1:4" ht="15.5" customHeight="1" x14ac:dyDescent="0.35">
      <c r="A38" s="37" t="s">
        <v>127</v>
      </c>
      <c r="B38" s="38" t="s">
        <v>128</v>
      </c>
    </row>
    <row r="39" spans="1:4" ht="15.5" customHeight="1" x14ac:dyDescent="0.35">
      <c r="A39" s="37" t="s">
        <v>129</v>
      </c>
      <c r="B39" s="38" t="s">
        <v>11</v>
      </c>
    </row>
    <row r="40" spans="1:4" ht="15.5" customHeight="1" x14ac:dyDescent="0.35">
      <c r="A40" s="37" t="s">
        <v>130</v>
      </c>
      <c r="B40" s="38" t="s">
        <v>12</v>
      </c>
      <c r="C40">
        <v>0.57480315000000004</v>
      </c>
    </row>
    <row r="41" spans="1:4" ht="15.5" customHeight="1" x14ac:dyDescent="0.35">
      <c r="A41" s="37" t="s">
        <v>131</v>
      </c>
      <c r="B41" s="38" t="s">
        <v>13</v>
      </c>
      <c r="C41" s="6">
        <v>3120</v>
      </c>
    </row>
    <row r="42" spans="1:4" ht="15.5" customHeight="1" x14ac:dyDescent="0.35">
      <c r="A42" s="37" t="s">
        <v>132</v>
      </c>
      <c r="B42" s="38" t="s">
        <v>14</v>
      </c>
      <c r="C42">
        <v>289.32787692307693</v>
      </c>
      <c r="D4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Calculate</vt:lpstr>
      <vt:lpstr>FINPLAN results</vt:lpstr>
      <vt:lpstr>Forecast error</vt:lpstr>
      <vt:lpstr>Sensitivity</vt:lpstr>
      <vt:lpstr>Ch21 update</vt:lpstr>
      <vt:lpstr>Parameters (2017)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葉玟其</dc:creator>
  <cp:lastModifiedBy>Wen-Chi Yeh</cp:lastModifiedBy>
  <dcterms:created xsi:type="dcterms:W3CDTF">2020-03-14T21:30:27Z</dcterms:created>
  <dcterms:modified xsi:type="dcterms:W3CDTF">2022-07-17T22:37:30Z</dcterms:modified>
</cp:coreProperties>
</file>