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1.xml" ContentType="application/vnd.openxmlformats-officedocument.drawingml.chart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yehcr\Desktop\"/>
    </mc:Choice>
  </mc:AlternateContent>
  <xr:revisionPtr revIDLastSave="0" documentId="13_ncr:1_{887BA421-9D46-4CA0-B419-FA7479CC111C}" xr6:coauthVersionLast="47" xr6:coauthVersionMax="47" xr10:uidLastSave="{00000000-0000-0000-0000-000000000000}"/>
  <bookViews>
    <workbookView xWindow="22932" yWindow="-8508" windowWidth="30936" windowHeight="16896" xr2:uid="{00000000-000D-0000-FFFF-FFFF00000000}"/>
  </bookViews>
  <sheets>
    <sheet name="Return calculations" sheetId="5" r:id="rId1"/>
    <sheet name="Stock Returns" sheetId="2" r:id="rId2"/>
    <sheet name="Beta and Cost of Equity" sheetId="4" r:id="rId3"/>
    <sheet name="Optimal Portfolios" sheetId="3" r:id="rId4"/>
  </sheets>
  <definedNames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'Stock Returns'!$B$1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3" l="1"/>
  <c r="B4" i="3"/>
  <c r="G23" i="2"/>
  <c r="G18" i="2"/>
  <c r="G20" i="2"/>
  <c r="H47" i="4"/>
  <c r="R47" i="4"/>
  <c r="H44" i="4" l="1"/>
  <c r="I44" i="4" l="1"/>
  <c r="S44" i="4"/>
  <c r="J44" i="4"/>
  <c r="G40" i="4"/>
  <c r="P54" i="4"/>
  <c r="F54" i="4"/>
  <c r="J25" i="4"/>
  <c r="J30" i="4" s="1"/>
  <c r="J21" i="4" l="1"/>
  <c r="J26" i="4" s="1"/>
  <c r="G8" i="2"/>
  <c r="H9" i="2"/>
  <c r="G9" i="2"/>
  <c r="G12" i="2" l="1"/>
  <c r="G11" i="2"/>
  <c r="G7" i="2"/>
  <c r="G3" i="2"/>
  <c r="G2" i="2"/>
  <c r="I9" i="2" l="1"/>
  <c r="H8" i="2"/>
  <c r="H3" i="5"/>
  <c r="G54" i="5"/>
  <c r="H54" i="5"/>
  <c r="I54" i="5"/>
  <c r="G55" i="5"/>
  <c r="H55" i="5"/>
  <c r="I55" i="5"/>
  <c r="G56" i="5"/>
  <c r="H56" i="5"/>
  <c r="I56" i="5"/>
  <c r="G57" i="5"/>
  <c r="H57" i="5"/>
  <c r="I57" i="5"/>
  <c r="G58" i="5"/>
  <c r="H58" i="5"/>
  <c r="I58" i="5"/>
  <c r="G59" i="5"/>
  <c r="H59" i="5"/>
  <c r="I59" i="5"/>
  <c r="G60" i="5"/>
  <c r="H60" i="5"/>
  <c r="I60" i="5"/>
  <c r="G61" i="5"/>
  <c r="H61" i="5"/>
  <c r="I61" i="5"/>
  <c r="G62" i="5"/>
  <c r="H62" i="5"/>
  <c r="I62" i="5"/>
  <c r="G63" i="5"/>
  <c r="H63" i="5"/>
  <c r="I63" i="5"/>
  <c r="G64" i="5"/>
  <c r="H64" i="5"/>
  <c r="I64" i="5"/>
  <c r="G3" i="5"/>
  <c r="I53" i="5"/>
  <c r="H53" i="5"/>
  <c r="G53" i="5"/>
  <c r="I52" i="5"/>
  <c r="H52" i="5"/>
  <c r="G52" i="5"/>
  <c r="I51" i="5"/>
  <c r="H51" i="5"/>
  <c r="G51" i="5"/>
  <c r="I50" i="5"/>
  <c r="H50" i="5"/>
  <c r="G50" i="5"/>
  <c r="I49" i="5"/>
  <c r="H49" i="5"/>
  <c r="G49" i="5"/>
  <c r="I48" i="5"/>
  <c r="H48" i="5"/>
  <c r="G48" i="5"/>
  <c r="I47" i="5"/>
  <c r="H47" i="5"/>
  <c r="G47" i="5"/>
  <c r="I46" i="5"/>
  <c r="H46" i="5"/>
  <c r="G46" i="5"/>
  <c r="I45" i="5"/>
  <c r="H45" i="5"/>
  <c r="G45" i="5"/>
  <c r="I44" i="5"/>
  <c r="H44" i="5"/>
  <c r="G44" i="5"/>
  <c r="I43" i="5"/>
  <c r="H43" i="5"/>
  <c r="G43" i="5"/>
  <c r="I42" i="5"/>
  <c r="H42" i="5"/>
  <c r="G42" i="5"/>
  <c r="I41" i="5"/>
  <c r="H41" i="5"/>
  <c r="G41" i="5"/>
  <c r="I40" i="5"/>
  <c r="H40" i="5"/>
  <c r="G40" i="5"/>
  <c r="I39" i="5"/>
  <c r="H39" i="5"/>
  <c r="G39" i="5"/>
  <c r="I38" i="5"/>
  <c r="H38" i="5"/>
  <c r="G38" i="5"/>
  <c r="I37" i="5"/>
  <c r="H37" i="5"/>
  <c r="G37" i="5"/>
  <c r="I36" i="5"/>
  <c r="H36" i="5"/>
  <c r="G36" i="5"/>
  <c r="I35" i="5"/>
  <c r="H35" i="5"/>
  <c r="G35" i="5"/>
  <c r="I34" i="5"/>
  <c r="H34" i="5"/>
  <c r="G34" i="5"/>
  <c r="I33" i="5"/>
  <c r="H33" i="5"/>
  <c r="G33" i="5"/>
  <c r="I32" i="5"/>
  <c r="H32" i="5"/>
  <c r="G32" i="5"/>
  <c r="I31" i="5"/>
  <c r="H31" i="5"/>
  <c r="G31" i="5"/>
  <c r="I30" i="5"/>
  <c r="H30" i="5"/>
  <c r="G30" i="5"/>
  <c r="I29" i="5"/>
  <c r="H29" i="5"/>
  <c r="G29" i="5"/>
  <c r="I28" i="5"/>
  <c r="H28" i="5"/>
  <c r="G28" i="5"/>
  <c r="I27" i="5"/>
  <c r="H27" i="5"/>
  <c r="G27" i="5"/>
  <c r="I26" i="5"/>
  <c r="H26" i="5"/>
  <c r="G26" i="5"/>
  <c r="I25" i="5"/>
  <c r="H25" i="5"/>
  <c r="G25" i="5"/>
  <c r="I24" i="5"/>
  <c r="H24" i="5"/>
  <c r="G24" i="5"/>
  <c r="I23" i="5"/>
  <c r="H23" i="5"/>
  <c r="G23" i="5"/>
  <c r="I22" i="5"/>
  <c r="H22" i="5"/>
  <c r="G22" i="5"/>
  <c r="I21" i="5"/>
  <c r="H21" i="5"/>
  <c r="G21" i="5"/>
  <c r="I20" i="5"/>
  <c r="H20" i="5"/>
  <c r="G20" i="5"/>
  <c r="I19" i="5"/>
  <c r="H19" i="5"/>
  <c r="G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3" i="5"/>
  <c r="H13" i="5"/>
  <c r="G13" i="5"/>
  <c r="I12" i="5"/>
  <c r="H12" i="5"/>
  <c r="G12" i="5"/>
  <c r="I11" i="5"/>
  <c r="H11" i="5"/>
  <c r="G11" i="5"/>
  <c r="I10" i="5"/>
  <c r="H10" i="5"/>
  <c r="G10" i="5"/>
  <c r="I9" i="5"/>
  <c r="H9" i="5"/>
  <c r="G9" i="5"/>
  <c r="I8" i="5"/>
  <c r="H8" i="5"/>
  <c r="G8" i="5"/>
  <c r="I7" i="5"/>
  <c r="H7" i="5"/>
  <c r="G7" i="5"/>
  <c r="I6" i="5"/>
  <c r="H6" i="5"/>
  <c r="G6" i="5"/>
  <c r="I5" i="5"/>
  <c r="H5" i="5"/>
  <c r="G5" i="5"/>
  <c r="I4" i="5"/>
  <c r="H4" i="5"/>
  <c r="G4" i="5"/>
  <c r="I3" i="5"/>
  <c r="U45" i="4" l="1"/>
  <c r="U46" i="4"/>
  <c r="U44" i="4"/>
  <c r="Q40" i="4"/>
  <c r="K46" i="4" l="1"/>
  <c r="K45" i="4"/>
  <c r="K44" i="4" l="1"/>
  <c r="H21" i="2" l="1"/>
  <c r="G21" i="2"/>
  <c r="B6" i="3" l="1"/>
  <c r="J22" i="4"/>
  <c r="G15" i="2" s="1"/>
  <c r="T27" i="4"/>
  <c r="J20" i="4" l="1"/>
  <c r="T25" i="4" l="1"/>
  <c r="H12" i="2"/>
  <c r="I12" i="2"/>
  <c r="I11" i="2"/>
  <c r="H11" i="2"/>
  <c r="I3" i="2" l="1"/>
  <c r="H3" i="2"/>
  <c r="I2" i="2"/>
  <c r="H2" i="2"/>
  <c r="H23" i="2" l="1"/>
  <c r="I23" i="2"/>
  <c r="H14" i="2"/>
  <c r="I14" i="2"/>
  <c r="G14" i="2"/>
  <c r="I20" i="2"/>
  <c r="H20" i="2"/>
  <c r="T21" i="4"/>
  <c r="T26" i="4" s="1"/>
  <c r="T20" i="4"/>
  <c r="B5" i="3" l="1"/>
  <c r="B9" i="3" s="1"/>
  <c r="F8" i="3"/>
  <c r="H18" i="2" l="1"/>
  <c r="I18" i="2"/>
  <c r="F5" i="3"/>
  <c r="F7" i="3"/>
  <c r="B10" i="3"/>
  <c r="T30" i="4"/>
  <c r="F6" i="3"/>
  <c r="F11" i="3" l="1"/>
  <c r="F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tc={D0C64EFD-070C-40C9-9AF6-86B2886CE516}</author>
    <author>tc={B1046458-CCD1-493F-8FE8-45AD4B49F365}</author>
    <author>tc={A067CFD7-10D2-4A8D-8553-9D22B803B8CB}</author>
  </authors>
  <commentList>
    <comment ref="C1" authorId="0" shapeId="0" xr:uid="{D0C64EFD-070C-40C9-9AF6-86B2886CE516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from "All companies monthly returns.xlsx" on Canvas</t>
      </text>
    </comment>
    <comment ref="F5" authorId="1" shapeId="0" xr:uid="{B1046458-CCD1-493F-8FE8-45AD4B49F365}">
      <text>
        <t>[Threaded comment]
Your version of Excel allows you to read this threaded comment; however, any edits to it will get removed if the file is opened in a newer version of Excel. Learn more: https://go.microsoft.com/fwlink/?linkid=870924
Comment:
    1) Data
2) Data Analysis
3) Covariance
4) Run it on area of B, C, and D
4) Output in a new sheet
Reply:
    If you cannot find "Data Analysis":
1) Go to File
2) Options
3) Add-ins
4) Manage: Excel Add-ins, click "Go"
5) Choose "Analysis ToolPak", and then click "OK"</t>
      </text>
    </comment>
    <comment ref="G15" authorId="2" shapeId="0" xr:uid="{00000000-0006-0000-01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Assigned by professor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tc={74C96B63-0A6E-441E-9005-29A7F80D0A7C}</author>
    <author>tc={D4CFB6CE-61DC-4C2D-9ACF-B25876DCDF47}</author>
    <author>tc={137099C7-B320-4E0D-85D3-D7047A71D2A1}</author>
    <author>tc={AD39ADF3-B355-46D2-B350-F48ADD98CE3B}</author>
    <author>tc={3980A870-42FA-441C-8698-7716320FE53B}</author>
    <author>tc={A0BE6765-E5CF-4071-A481-8BBE3A19EC43}</author>
    <author>tc={117FF595-863F-48A2-BF7D-206A1E900233}</author>
    <author>tc={0F9D34F6-37E3-45BB-9405-D3AD86582A41}</author>
    <author>tc={36D9A00E-463C-4585-8F7E-13315E6A4140}</author>
    <author>tc={9C3C5F16-66C3-499D-9656-648B9154CC6A}</author>
  </authors>
  <commentList>
    <comment ref="C1" authorId="0" shapeId="0" xr:uid="{74C96B63-0A6E-441E-9005-29A7F80D0A7C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from "All companies monthly returns.xlsx" on Canvas</t>
      </text>
    </comment>
    <comment ref="F1" authorId="1" shapeId="0" xr:uid="{D4CFB6CE-61DC-4C2D-9ACF-B25876DCDF47}">
      <text>
        <t>[Threaded comment]
Your version of Excel allows you to read this threaded comment; however, any edits to it will get removed if the file is opened in a newer version of Excel. Learn more: https://go.microsoft.com/fwlink/?linkid=870924
Comment:
    1) Data
2) Data Analysis
2) Regression
4) Run Regression on area of columns B (Y variable) and D (X variable) with data</t>
      </text>
    </comment>
    <comment ref="P1" authorId="2" shapeId="0" xr:uid="{137099C7-B320-4E0D-85D3-D7047A71D2A1}">
      <text>
        <t>[Threaded comment]
Your version of Excel allows you to read this threaded comment; however, any edits to it will get removed if the file is opened in a newer version of Excel. Learn more: https://go.microsoft.com/fwlink/?linkid=870924
Comment:
    Run Regression on area of columns C (Y variable) and D (X variable) with data</t>
      </text>
    </comment>
    <comment ref="J22" authorId="3" shapeId="0" xr:uid="{AD39ADF3-B355-46D2-B350-F48ADD98CE3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Assigned by professor</t>
      </text>
    </comment>
    <comment ref="T22" authorId="4" shapeId="0" xr:uid="{3980A870-42FA-441C-8698-7716320FE53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Assigned by professor</t>
      </text>
    </comment>
    <comment ref="J27" authorId="5" shapeId="0" xr:uid="{A0BE6765-E5CF-4071-A481-8BBE3A19EC4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Assigned by professor</t>
      </text>
    </comment>
    <comment ref="T27" authorId="6" shapeId="0" xr:uid="{117FF595-863F-48A2-BF7D-206A1E90023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Assigned by professor</t>
      </text>
    </comment>
    <comment ref="J28" authorId="7" shapeId="0" xr:uid="{0F9D34F6-37E3-45BB-9405-D3AD86582A4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Assigned by professor</t>
      </text>
    </comment>
    <comment ref="T28" authorId="8" shapeId="0" xr:uid="{36D9A00E-463C-4585-8F7E-13315E6A414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Assigned by professor</t>
      </text>
    </comment>
    <comment ref="F34" authorId="9" shapeId="0" xr:uid="{9C3C5F16-66C3-499D-9656-648B9154CC6A}">
      <text>
        <t>[Threaded comment]
Your version of Excel allows you to read this threaded comment; however, any edits to it will get removed if the file is opened in a newer version of Excel. Learn more: https://go.microsoft.com/fwlink/?linkid=870924
Comment:
    Defensive: when beta &lt; 1
Offensive: when beta &gt; 1
Neutral: when beta = 1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tc={1D6868B5-AE27-45D8-BBDB-18E86E35B8FD}</author>
    <author>tc={7F2DB76E-F7DC-437B-B486-C0EFC08A85D7}</author>
  </authors>
  <commentList>
    <comment ref="A5" authorId="0" shapeId="0" xr:uid="{1D6868B5-AE27-45D8-BBDB-18E86E35B8FD}">
      <text>
        <t>[Threaded comment]
Your version of Excel allows you to read this threaded comment; however, any edits to it will get removed if the file is opened in a newer version of Excel. Learn more: https://go.microsoft.com/fwlink/?linkid=870924
Comment:
    Use your company. IBM is an example.</t>
      </text>
    </comment>
    <comment ref="E5" authorId="1" shapeId="0" xr:uid="{7F2DB76E-F7DC-437B-B486-C0EFC08A85D7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 your company. IBM in this example.</t>
      </text>
    </comment>
  </commentList>
</comments>
</file>

<file path=xl/sharedStrings.xml><?xml version="1.0" encoding="utf-8"?>
<sst xmlns="http://schemas.openxmlformats.org/spreadsheetml/2006/main" count="161" uniqueCount="95">
  <si>
    <t>Date</t>
  </si>
  <si>
    <t>JNJ</t>
  </si>
  <si>
    <t>GSPC</t>
  </si>
  <si>
    <t>Monthly Average Returns</t>
    <phoneticPr fontId="0" type="noConversion"/>
  </si>
  <si>
    <t>Variance-Covariance Matrix</t>
  </si>
  <si>
    <t>Monthly Skewness</t>
  </si>
  <si>
    <t>Monthly Kurtosis</t>
  </si>
  <si>
    <t>Output</t>
  </si>
  <si>
    <t>Covariance</t>
  </si>
  <si>
    <t>Variance_2</t>
  </si>
  <si>
    <t>Variance_1</t>
  </si>
  <si>
    <t>Input</t>
  </si>
  <si>
    <t>Sharpe Performance Maximization</t>
  </si>
  <si>
    <t>Variance Minimization</t>
  </si>
  <si>
    <t>Regression Statistics</t>
  </si>
  <si>
    <t>Multiple R</t>
  </si>
  <si>
    <t>R Square</t>
  </si>
  <si>
    <t>Adjusted R Square</t>
  </si>
  <si>
    <t>Standard Error</t>
  </si>
  <si>
    <t>Observations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</si>
  <si>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</si>
  <si>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</si>
  <si>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</si>
  <si>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</si>
  <si>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</si>
  <si>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</si>
  <si>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</si>
  <si>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</si>
  <si>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</si>
  <si>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</si>
  <si>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</si>
  <si>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</si>
  <si>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</si>
  <si>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</si>
  <si>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</si>
  <si>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</si>
  <si>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Beta Coefficient of JNJ</t>
  </si>
  <si>
    <t>Average Monthly Returns of JNJ</t>
  </si>
  <si>
    <t>Monthly Risk Free Rate</t>
  </si>
  <si>
    <t>Monthly Std. Deviation</t>
  </si>
  <si>
    <t>Sharpe Performance Measure</t>
  </si>
  <si>
    <t>Coefficient Variantion</t>
  </si>
  <si>
    <t>Annual Risk Free Rate</t>
  </si>
  <si>
    <t>Annual Returns of JNJ</t>
  </si>
  <si>
    <t>Annual</t>
  </si>
  <si>
    <t>Long-term Market Risk Premium</t>
  </si>
  <si>
    <t>GSPC log Returns</t>
  </si>
  <si>
    <t>ANOVA JNJ</t>
  </si>
  <si>
    <t>ANOVA IBM</t>
  </si>
  <si>
    <t>Beta Coefficient of BA</t>
  </si>
  <si>
    <t>SUMMARY OUTPUT (JNJ)</t>
  </si>
  <si>
    <t>Average Monthly Returns of BA</t>
  </si>
  <si>
    <t>Annual Returns of BA</t>
  </si>
  <si>
    <t>W_A (JNJ)</t>
  </si>
  <si>
    <t>W_1 (JNJ)</t>
  </si>
  <si>
    <t>JNJ monthly returns</t>
  </si>
  <si>
    <t>GSPC monthly returns</t>
  </si>
  <si>
    <t>JNJ Returns</t>
  </si>
  <si>
    <t>GSPC Returns</t>
  </si>
  <si>
    <t>Performance Measure</t>
  </si>
  <si>
    <t>Treynor Performance Measure</t>
  </si>
  <si>
    <t>Jensen Performance Measure</t>
  </si>
  <si>
    <t>Beta</t>
  </si>
  <si>
    <t>Compare with Yahoo Finance</t>
  </si>
  <si>
    <t>Variance_A (JNJ)</t>
  </si>
  <si>
    <t>ExcessReturns_1 (JNJ)</t>
  </si>
  <si>
    <t>Defensive, Offensive, or Neutral?</t>
  </si>
  <si>
    <t>IBM monthly returns</t>
  </si>
  <si>
    <t>SUMMARY OUTPUT (IBM)</t>
  </si>
  <si>
    <t>IBM</t>
  </si>
  <si>
    <t>IBM Returns</t>
  </si>
  <si>
    <t>Cost of Equity (CAPM) of IBM</t>
  </si>
  <si>
    <t>Variance_B (IBM)</t>
  </si>
  <si>
    <t>W_B (IBM)</t>
  </si>
  <si>
    <t>ExcessReturns_2 (IBM)</t>
  </si>
  <si>
    <t>W_2 (IBM)</t>
  </si>
  <si>
    <t>Defensive</t>
  </si>
  <si>
    <t>Offensive</t>
  </si>
  <si>
    <t>Tax rate</t>
  </si>
  <si>
    <t>Interest rate</t>
  </si>
  <si>
    <t>average</t>
  </si>
  <si>
    <t>Chase</t>
  </si>
  <si>
    <t>Debt/Equity</t>
  </si>
  <si>
    <t>from annual report</t>
  </si>
  <si>
    <t>from project 1</t>
  </si>
  <si>
    <t>1. Cost of Equity (CAPM) of JNJ</t>
  </si>
  <si>
    <t>2. Discounted Cash Flow: 𝐶𝑜𝑠𝑡 𝑜𝑓 𝐶𝑎𝑝𝑖𝑡𝑎𝑙 (𝐷𝐶𝐹) = 𝐷𝑖𝑣𝑖𝑑𝑒𝑛𝑑 𝑌𝑖𝑒𝑙𝑑 + 𝑆𝑢𝑠𝑡𝑎𝑖𝑛𝑎𝑏𝑙𝑒 𝐺𝑟𝑜𝑤𝑡ℎ 𝑅𝑎𝑡𝑒</t>
  </si>
  <si>
    <t>3. Chase method</t>
  </si>
  <si>
    <t>from Project 1</t>
  </si>
  <si>
    <t>DCF</t>
  </si>
  <si>
    <t>Price</t>
  </si>
  <si>
    <t>Return</t>
  </si>
  <si>
    <t>2021 Dividend yield</t>
  </si>
  <si>
    <t>2021 Sustainable growth rate</t>
  </si>
  <si>
    <t>Debt to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</si>
</sst>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_ "/>
    <numFmt numFmtId="165" formatCode="0.0000"/>
    <numFmt numFmtId="166" formatCode="0.00000_ "/>
    <numFmt numFmtId="167" formatCode="0.00000"/>
    <numFmt numFmtId="168" formatCode="0.000"/>
    <numFmt numFmtId="169" formatCode="0.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69">
    <xf numFmtId="0" fontId="0" fillId="0" borderId="0" xfId="0"/>
    <xf numFmtId="164" fontId="0" fillId="0" borderId="0" xfId="0" applyNumberFormat="1" applyAlignment="1">
      <alignment vertical="center"/>
    </xf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0" fontId="2" fillId="0" borderId="1" xfId="0" applyFont="1" applyFill="1" applyBorder="1" applyAlignment="1">
      <alignment horizontal="centerContinuous"/>
    </xf>
    <xf numFmtId="165" fontId="0" fillId="0" borderId="0" xfId="0" applyNumberFormat="1" applyFill="1"/>
    <xf numFmtId="164" fontId="1" fillId="2" borderId="3" xfId="0" applyNumberFormat="1" applyFont="1" applyFill="1" applyBorder="1"/>
    <xf numFmtId="164" fontId="1" fillId="0" borderId="3" xfId="0" applyNumberFormat="1" applyFont="1" applyBorder="1" applyAlignment="1">
      <alignment vertical="center"/>
    </xf>
    <xf numFmtId="0" fontId="1" fillId="0" borderId="3" xfId="0" applyFont="1" applyFill="1" applyBorder="1"/>
    <xf numFmtId="164" fontId="1" fillId="0" borderId="3" xfId="0" applyNumberFormat="1" applyFont="1" applyFill="1" applyBorder="1"/>
    <xf numFmtId="0" fontId="0" fillId="0" borderId="0" xfId="0" applyFill="1"/>
    <xf numFmtId="0" fontId="0" fillId="0" borderId="0" xfId="0"/>
    <xf numFmtId="164" fontId="0" fillId="0" borderId="0" xfId="0" applyNumberFormat="1"/>
    <xf numFmtId="0" fontId="0" fillId="0" borderId="0" xfId="0" applyFill="1" applyBorder="1" applyAlignment="1"/>
    <xf numFmtId="0" fontId="0" fillId="2" borderId="0" xfId="0" applyFill="1"/>
    <xf numFmtId="0" fontId="0" fillId="0" borderId="0" xfId="0"/>
    <xf numFmtId="0" fontId="1" fillId="0" borderId="0" xfId="0" applyFont="1"/>
    <xf numFmtId="165" fontId="0" fillId="0" borderId="0" xfId="0" applyNumberFormat="1"/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1" fillId="2" borderId="0" xfId="0" applyFont="1" applyFill="1"/>
    <xf numFmtId="166" fontId="0" fillId="0" borderId="0" xfId="0" applyNumberFormat="1"/>
    <xf numFmtId="167" fontId="0" fillId="0" borderId="0" xfId="0" applyNumberFormat="1"/>
    <xf numFmtId="164" fontId="1" fillId="0" borderId="0" xfId="0" applyNumberFormat="1" applyFont="1" applyFill="1"/>
    <xf numFmtId="164" fontId="0" fillId="0" borderId="0" xfId="0" applyNumberFormat="1" applyFill="1"/>
    <xf numFmtId="0" fontId="0" fillId="0" borderId="0" xfId="0" applyFont="1" applyFill="1"/>
    <xf numFmtId="167" fontId="0" fillId="0" borderId="0" xfId="0" applyNumberFormat="1" applyFill="1"/>
    <xf numFmtId="0" fontId="1" fillId="0" borderId="0" xfId="0" applyFont="1" applyFill="1"/>
    <xf numFmtId="14" fontId="1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64" fontId="0" fillId="0" borderId="0" xfId="0" applyNumberFormat="1" applyFont="1"/>
    <xf numFmtId="168" fontId="0" fillId="0" borderId="0" xfId="0" applyNumberFormat="1" applyFill="1" applyBorder="1" applyAlignment="1"/>
    <xf numFmtId="168" fontId="0" fillId="0" borderId="0" xfId="0" applyNumberFormat="1"/>
    <xf numFmtId="168" fontId="0" fillId="0" borderId="0" xfId="0" applyNumberFormat="1" applyBorder="1"/>
    <xf numFmtId="0" fontId="4" fillId="0" borderId="0" xfId="0" applyFont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164" fontId="2" fillId="2" borderId="0" xfId="0" applyNumberFormat="1" applyFont="1" applyFill="1"/>
    <xf numFmtId="0" fontId="4" fillId="0" borderId="0" xfId="0" applyFont="1" applyFill="1"/>
    <xf numFmtId="165" fontId="4" fillId="0" borderId="0" xfId="0" applyNumberFormat="1" applyFont="1" applyFill="1"/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0" fontId="7" fillId="0" borderId="0" xfId="0" applyFont="1"/>
    <xf numFmtId="9" fontId="0" fillId="0" borderId="0" xfId="2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9" fontId="6" fillId="0" borderId="0" xfId="0" applyNumberFormat="1" applyFont="1"/>
    <xf numFmtId="10" fontId="7" fillId="0" borderId="0" xfId="2" applyNumberFormat="1" applyFont="1"/>
    <xf numFmtId="10" fontId="7" fillId="0" borderId="0" xfId="2" applyNumberFormat="1" applyFont="1" applyFill="1"/>
    <xf numFmtId="10" fontId="1" fillId="0" borderId="0" xfId="2" applyNumberFormat="1" applyFont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4" fontId="0" fillId="3" borderId="0" xfId="0" applyNumberFormat="1" applyFill="1"/>
    <xf numFmtId="4" fontId="0" fillId="0" borderId="0" xfId="0" applyNumberFormat="1"/>
    <xf numFmtId="14" fontId="0" fillId="4" borderId="0" xfId="0" applyNumberFormat="1" applyFill="1"/>
    <xf numFmtId="14" fontId="0" fillId="0" borderId="0" xfId="0" applyNumberFormat="1"/>
    <xf numFmtId="14" fontId="6" fillId="3" borderId="0" xfId="0" applyNumberFormat="1" applyFont="1" applyFill="1"/>
    <xf numFmtId="14" fontId="6" fillId="4" borderId="0" xfId="0" applyNumberFormat="1" applyFon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Scatter</a:t>
            </a:r>
            <a:r>
              <a:rPr lang="en-US" baseline="0"/>
              <a:t> Diagram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xVal>
            <c:numRef>
              <c:f>'Beta and Cost of Equity'!$D$2:$D$64</c:f>
              <c:numCache>
                <c:formatCode>General</c:formatCode>
                <c:ptCount val="63"/>
                <c:pt idx="0">
                  <c:v>1.1576210049492646E-2</c:v>
                </c:pt>
                <c:pt idx="1">
                  <c:v>4.81383199270241E-3</c:v>
                </c:pt>
                <c:pt idx="2">
                  <c:v>1.9348768883515513E-2</c:v>
                </c:pt>
                <c:pt idx="3">
                  <c:v>5.4649232886690234E-4</c:v>
                </c:pt>
                <c:pt idx="4">
                  <c:v>1.9302894827342074E-2</c:v>
                </c:pt>
                <c:pt idx="5">
                  <c:v>2.218817477454595E-2</c:v>
                </c:pt>
                <c:pt idx="6">
                  <c:v>2.8082601368405406E-2</c:v>
                </c:pt>
                <c:pt idx="7">
                  <c:v>9.8316198188535195E-3</c:v>
                </c:pt>
                <c:pt idx="8">
                  <c:v>5.6178724645703677E-2</c:v>
                </c:pt>
                <c:pt idx="9">
                  <c:v>-3.8947379604151844E-2</c:v>
                </c:pt>
                <c:pt idx="10">
                  <c:v>-2.6884513768364281E-2</c:v>
                </c:pt>
                <c:pt idx="11">
                  <c:v>2.718801001185326E-3</c:v>
                </c:pt>
                <c:pt idx="12">
                  <c:v>2.1608353316591378E-2</c:v>
                </c:pt>
                <c:pt idx="13">
                  <c:v>4.842400204046143E-3</c:v>
                </c:pt>
                <c:pt idx="14">
                  <c:v>3.6021586465418642E-2</c:v>
                </c:pt>
                <c:pt idx="15">
                  <c:v>3.0263218631603996E-2</c:v>
                </c:pt>
                <c:pt idx="16">
                  <c:v>4.2943009181394707E-3</c:v>
                </c:pt>
                <c:pt idx="17">
                  <c:v>-6.9403358979814631E-2</c:v>
                </c:pt>
                <c:pt idx="18">
                  <c:v>1.7859381799140144E-2</c:v>
                </c:pt>
                <c:pt idx="19">
                  <c:v>-9.1776955767217297E-2</c:v>
                </c:pt>
                <c:pt idx="20">
                  <c:v>7.8684404731036967E-2</c:v>
                </c:pt>
                <c:pt idx="21">
                  <c:v>2.9728930143115964E-2</c:v>
                </c:pt>
                <c:pt idx="22">
                  <c:v>1.7924287751078408E-2</c:v>
                </c:pt>
                <c:pt idx="23">
                  <c:v>3.9313434942139368E-2</c:v>
                </c:pt>
                <c:pt idx="24">
                  <c:v>-6.5777726481161508E-2</c:v>
                </c:pt>
                <c:pt idx="25">
                  <c:v>6.8930183208215035E-2</c:v>
                </c:pt>
                <c:pt idx="26">
                  <c:v>1.312819536603934E-2</c:v>
                </c:pt>
                <c:pt idx="27">
                  <c:v>-1.8091652742267789E-2</c:v>
                </c:pt>
                <c:pt idx="28">
                  <c:v>1.7181167690656883E-2</c:v>
                </c:pt>
                <c:pt idx="29">
                  <c:v>2.0431747482144953E-2</c:v>
                </c:pt>
                <c:pt idx="30">
                  <c:v>3.4047064090915104E-2</c:v>
                </c:pt>
                <c:pt idx="31">
                  <c:v>2.8589803182446302E-2</c:v>
                </c:pt>
                <c:pt idx="32">
                  <c:v>-1.6280898111292685E-3</c:v>
                </c:pt>
                <c:pt idx="33">
                  <c:v>-8.4110469009648109E-2</c:v>
                </c:pt>
                <c:pt idx="34">
                  <c:v>-0.12511932083595659</c:v>
                </c:pt>
                <c:pt idx="35">
                  <c:v>0.12684410293315368</c:v>
                </c:pt>
                <c:pt idx="36">
                  <c:v>4.5281775012618368E-2</c:v>
                </c:pt>
                <c:pt idx="37">
                  <c:v>1.838840328350267E-2</c:v>
                </c:pt>
                <c:pt idx="38">
                  <c:v>5.5101296975444213E-2</c:v>
                </c:pt>
                <c:pt idx="39">
                  <c:v>7.0064687324219249E-2</c:v>
                </c:pt>
                <c:pt idx="40">
                  <c:v>-3.9227954095494386E-2</c:v>
                </c:pt>
                <c:pt idx="41">
                  <c:v>-2.766577460600653E-2</c:v>
                </c:pt>
                <c:pt idx="42">
                  <c:v>0.10754565805086302</c:v>
                </c:pt>
                <c:pt idx="43">
                  <c:v>3.7121406659432372E-2</c:v>
                </c:pt>
                <c:pt idx="44">
                  <c:v>-1.1136640158463601E-2</c:v>
                </c:pt>
                <c:pt idx="45">
                  <c:v>2.6091474971999741E-2</c:v>
                </c:pt>
                <c:pt idx="46">
                  <c:v>4.2438634008107733E-2</c:v>
                </c:pt>
                <c:pt idx="47">
                  <c:v>5.2425312555847307E-2</c:v>
                </c:pt>
                <c:pt idx="48">
                  <c:v>5.4865025818131288E-3</c:v>
                </c:pt>
                <c:pt idx="49">
                  <c:v>2.221397632316955E-2</c:v>
                </c:pt>
                <c:pt idx="50">
                  <c:v>2.2748109365910464E-2</c:v>
                </c:pt>
                <c:pt idx="51">
                  <c:v>2.8990321391681052E-2</c:v>
                </c:pt>
                <c:pt idx="52">
                  <c:v>-4.7569140421166278E-2</c:v>
                </c:pt>
                <c:pt idx="53">
                  <c:v>6.9143873301234615E-2</c:v>
                </c:pt>
                <c:pt idx="54">
                  <c:v>-8.3337314184714628E-3</c:v>
                </c:pt>
                <c:pt idx="55">
                  <c:v>4.3612874972629799E-2</c:v>
                </c:pt>
                <c:pt idx="56">
                  <c:v>-5.2585089106999758E-2</c:v>
                </c:pt>
                <c:pt idx="57">
                  <c:v>-3.136052086678269E-2</c:v>
                </c:pt>
                <c:pt idx="58">
                  <c:v>3.5773238773279988E-2</c:v>
                </c:pt>
                <c:pt idx="59">
                  <c:v>-8.7956719149039395E-2</c:v>
                </c:pt>
                <c:pt idx="60">
                  <c:v>5.3243883608711947E-5</c:v>
                </c:pt>
                <c:pt idx="61">
                  <c:v>-8.391999322386641E-2</c:v>
                </c:pt>
                <c:pt idx="62">
                  <c:v>1.577120394782025E-2</c:v>
                </c:pt>
              </c:numCache>
            </c:numRef>
          </c:xVal>
          <c:yVal>
            <c:numRef>
              <c:f>'Beta and Cost of Equity'!$C$2:$C$64</c:f>
              <c:numCache>
                <c:formatCode>General</c:formatCode>
                <c:ptCount val="63"/>
                <c:pt idx="0">
                  <c:v>-4.7788237970077897E-2</c:v>
                </c:pt>
                <c:pt idx="1">
                  <c:v>1.7707461227614983E-2</c:v>
                </c:pt>
                <c:pt idx="2">
                  <c:v>-5.9546013802907721E-2</c:v>
                </c:pt>
                <c:pt idx="3">
                  <c:v>-1.133616115864541E-2</c:v>
                </c:pt>
                <c:pt idx="4">
                  <c:v>2.5049698168423874E-2</c:v>
                </c:pt>
                <c:pt idx="5">
                  <c:v>6.1896763644093807E-2</c:v>
                </c:pt>
                <c:pt idx="6">
                  <c:v>-5.8418960019677123E-4</c:v>
                </c:pt>
                <c:pt idx="7">
                  <c:v>6.3874698709056911E-3</c:v>
                </c:pt>
                <c:pt idx="8">
                  <c:v>6.7005603716052659E-2</c:v>
                </c:pt>
                <c:pt idx="9">
                  <c:v>-4.8075581792599499E-2</c:v>
                </c:pt>
                <c:pt idx="10">
                  <c:v>-5.7075328307452265E-3</c:v>
                </c:pt>
                <c:pt idx="11">
                  <c:v>-5.5204246656696279E-2</c:v>
                </c:pt>
                <c:pt idx="12">
                  <c:v>-2.5179471925903037E-2</c:v>
                </c:pt>
                <c:pt idx="13">
                  <c:v>-4.188777955221956E-4</c:v>
                </c:pt>
                <c:pt idx="14">
                  <c:v>3.7437136660698429E-2</c:v>
                </c:pt>
                <c:pt idx="15">
                  <c:v>1.0695079477959861E-2</c:v>
                </c:pt>
                <c:pt idx="16">
                  <c:v>4.3443697744252857E-2</c:v>
                </c:pt>
                <c:pt idx="17">
                  <c:v>-0.23662452792967195</c:v>
                </c:pt>
                <c:pt idx="18">
                  <c:v>7.6583187088143698E-2</c:v>
                </c:pt>
                <c:pt idx="19">
                  <c:v>-7.3648248104292671E-2</c:v>
                </c:pt>
                <c:pt idx="20">
                  <c:v>0.1825460910509607</c:v>
                </c:pt>
                <c:pt idx="21">
                  <c:v>2.7600121003747393E-2</c:v>
                </c:pt>
                <c:pt idx="22">
                  <c:v>3.3403016676705248E-2</c:v>
                </c:pt>
                <c:pt idx="23">
                  <c:v>-5.8822521759359691E-3</c:v>
                </c:pt>
                <c:pt idx="24">
                  <c:v>-9.4674487666840959E-2</c:v>
                </c:pt>
                <c:pt idx="25">
                  <c:v>9.8811206962445067E-2</c:v>
                </c:pt>
                <c:pt idx="26">
                  <c:v>7.4981828062680042E-2</c:v>
                </c:pt>
                <c:pt idx="27">
                  <c:v>-8.5739341932929369E-2</c:v>
                </c:pt>
                <c:pt idx="28">
                  <c:v>8.5615318291403064E-2</c:v>
                </c:pt>
                <c:pt idx="29">
                  <c:v>-8.0387849698227112E-2</c:v>
                </c:pt>
                <c:pt idx="30">
                  <c:v>5.3839136258253496E-3</c:v>
                </c:pt>
                <c:pt idx="31">
                  <c:v>8.7255065130192218E-3</c:v>
                </c:pt>
                <c:pt idx="32">
                  <c:v>7.2291835945574298E-2</c:v>
                </c:pt>
                <c:pt idx="33">
                  <c:v>-9.4482661187145142E-2</c:v>
                </c:pt>
                <c:pt idx="34">
                  <c:v>-0.1387755399666126</c:v>
                </c:pt>
                <c:pt idx="35">
                  <c:v>0.13188487180268479</c:v>
                </c:pt>
                <c:pt idx="36">
                  <c:v>-5.2564036579866606E-3</c:v>
                </c:pt>
                <c:pt idx="37">
                  <c:v>-2.0098752236437773E-2</c:v>
                </c:pt>
                <c:pt idx="38">
                  <c:v>1.7968121839851605E-2</c:v>
                </c:pt>
                <c:pt idx="39">
                  <c:v>3.0095494517625972E-3</c:v>
                </c:pt>
                <c:pt idx="40">
                  <c:v>-3.8050641901238145E-4</c:v>
                </c:pt>
                <c:pt idx="41">
                  <c:v>-8.2271687651948797E-2</c:v>
                </c:pt>
                <c:pt idx="42">
                  <c:v>0.10621515984316554</c:v>
                </c:pt>
                <c:pt idx="43">
                  <c:v>3.3883797103554554E-2</c:v>
                </c:pt>
                <c:pt idx="44">
                  <c:v>-5.3781315489807677E-2</c:v>
                </c:pt>
                <c:pt idx="45">
                  <c:v>-1.5112401203289936E-3</c:v>
                </c:pt>
                <c:pt idx="46">
                  <c:v>0.13546385055815696</c:v>
                </c:pt>
                <c:pt idx="47">
                  <c:v>6.4685780612864702E-2</c:v>
                </c:pt>
                <c:pt idx="48">
                  <c:v>1.3109674132417608E-2</c:v>
                </c:pt>
                <c:pt idx="49">
                  <c:v>3.1222072773775655E-2</c:v>
                </c:pt>
                <c:pt idx="50">
                  <c:v>-3.8406313087801215E-2</c:v>
                </c:pt>
                <c:pt idx="51">
                  <c:v>-4.3985375345814877E-3</c:v>
                </c:pt>
                <c:pt idx="52">
                  <c:v>-7.7724405430957585E-2</c:v>
                </c:pt>
                <c:pt idx="53">
                  <c:v>-9.9546499994091889E-2</c:v>
                </c:pt>
                <c:pt idx="54">
                  <c:v>-2.0890580689138367E-2</c:v>
                </c:pt>
                <c:pt idx="55">
                  <c:v>0.15664905618739305</c:v>
                </c:pt>
                <c:pt idx="56">
                  <c:v>-6.733274017782792E-4</c:v>
                </c:pt>
                <c:pt idx="57">
                  <c:v>-8.2803093086130347E-2</c:v>
                </c:pt>
                <c:pt idx="58">
                  <c:v>7.408498039532152E-2</c:v>
                </c:pt>
                <c:pt idx="59">
                  <c:v>1.6843605935886654E-2</c:v>
                </c:pt>
                <c:pt idx="60">
                  <c:v>5.014748160509603E-2</c:v>
                </c:pt>
                <c:pt idx="61">
                  <c:v>2.9261843071942933E-2</c:v>
                </c:pt>
                <c:pt idx="62">
                  <c:v>-2.2027055428471384E-2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8C-4EDC-9C8C-0B93BC67263C}"/>
            </c:ext>
          </c:extLst>
        </c:ser>
        <c:ser>
          <c:idx val="0"/>
          <c:order val="1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'Beta and Cost of Equity'!$D$2:$D$64</c:f>
              <c:numCache>
                <c:formatCode>General</c:formatCode>
                <c:ptCount val="63"/>
                <c:pt idx="0">
                  <c:v>1.1576210049492646E-2</c:v>
                </c:pt>
                <c:pt idx="1">
                  <c:v>4.81383199270241E-3</c:v>
                </c:pt>
                <c:pt idx="2">
                  <c:v>1.9348768883515513E-2</c:v>
                </c:pt>
                <c:pt idx="3">
                  <c:v>5.4649232886690234E-4</c:v>
                </c:pt>
                <c:pt idx="4">
                  <c:v>1.9302894827342074E-2</c:v>
                </c:pt>
                <c:pt idx="5">
                  <c:v>2.218817477454595E-2</c:v>
                </c:pt>
                <c:pt idx="6">
                  <c:v>2.8082601368405406E-2</c:v>
                </c:pt>
                <c:pt idx="7">
                  <c:v>9.8316198188535195E-3</c:v>
                </c:pt>
                <c:pt idx="8">
                  <c:v>5.6178724645703677E-2</c:v>
                </c:pt>
                <c:pt idx="9">
                  <c:v>-3.8947379604151844E-2</c:v>
                </c:pt>
                <c:pt idx="10">
                  <c:v>-2.6884513768364281E-2</c:v>
                </c:pt>
                <c:pt idx="11">
                  <c:v>2.718801001185326E-3</c:v>
                </c:pt>
                <c:pt idx="12">
                  <c:v>2.1608353316591378E-2</c:v>
                </c:pt>
                <c:pt idx="13">
                  <c:v>4.842400204046143E-3</c:v>
                </c:pt>
                <c:pt idx="14">
                  <c:v>3.6021586465418642E-2</c:v>
                </c:pt>
                <c:pt idx="15">
                  <c:v>3.0263218631603996E-2</c:v>
                </c:pt>
                <c:pt idx="16">
                  <c:v>4.2943009181394707E-3</c:v>
                </c:pt>
                <c:pt idx="17">
                  <c:v>-6.9403358979814631E-2</c:v>
                </c:pt>
                <c:pt idx="18">
                  <c:v>1.7859381799140144E-2</c:v>
                </c:pt>
                <c:pt idx="19">
                  <c:v>-9.1776955767217297E-2</c:v>
                </c:pt>
                <c:pt idx="20">
                  <c:v>7.8684404731036967E-2</c:v>
                </c:pt>
                <c:pt idx="21">
                  <c:v>2.9728930143115964E-2</c:v>
                </c:pt>
                <c:pt idx="22">
                  <c:v>1.7924287751078408E-2</c:v>
                </c:pt>
                <c:pt idx="23">
                  <c:v>3.9313434942139368E-2</c:v>
                </c:pt>
                <c:pt idx="24">
                  <c:v>-6.5777726481161508E-2</c:v>
                </c:pt>
                <c:pt idx="25">
                  <c:v>6.8930183208215035E-2</c:v>
                </c:pt>
                <c:pt idx="26">
                  <c:v>1.312819536603934E-2</c:v>
                </c:pt>
                <c:pt idx="27">
                  <c:v>-1.8091652742267789E-2</c:v>
                </c:pt>
                <c:pt idx="28">
                  <c:v>1.7181167690656883E-2</c:v>
                </c:pt>
                <c:pt idx="29">
                  <c:v>2.0431747482144953E-2</c:v>
                </c:pt>
                <c:pt idx="30">
                  <c:v>3.4047064090915104E-2</c:v>
                </c:pt>
                <c:pt idx="31">
                  <c:v>2.8589803182446302E-2</c:v>
                </c:pt>
                <c:pt idx="32">
                  <c:v>-1.6280898111292685E-3</c:v>
                </c:pt>
                <c:pt idx="33">
                  <c:v>-8.4110469009648109E-2</c:v>
                </c:pt>
                <c:pt idx="34">
                  <c:v>-0.12511932083595659</c:v>
                </c:pt>
                <c:pt idx="35">
                  <c:v>0.12684410293315368</c:v>
                </c:pt>
                <c:pt idx="36">
                  <c:v>4.5281775012618368E-2</c:v>
                </c:pt>
                <c:pt idx="37">
                  <c:v>1.838840328350267E-2</c:v>
                </c:pt>
                <c:pt idx="38">
                  <c:v>5.5101296975444213E-2</c:v>
                </c:pt>
                <c:pt idx="39">
                  <c:v>7.0064687324219249E-2</c:v>
                </c:pt>
                <c:pt idx="40">
                  <c:v>-3.9227954095494386E-2</c:v>
                </c:pt>
                <c:pt idx="41">
                  <c:v>-2.766577460600653E-2</c:v>
                </c:pt>
                <c:pt idx="42">
                  <c:v>0.10754565805086302</c:v>
                </c:pt>
                <c:pt idx="43">
                  <c:v>3.7121406659432372E-2</c:v>
                </c:pt>
                <c:pt idx="44">
                  <c:v>-1.1136640158463601E-2</c:v>
                </c:pt>
                <c:pt idx="45">
                  <c:v>2.6091474971999741E-2</c:v>
                </c:pt>
                <c:pt idx="46">
                  <c:v>4.2438634008107733E-2</c:v>
                </c:pt>
                <c:pt idx="47">
                  <c:v>5.2425312555847307E-2</c:v>
                </c:pt>
                <c:pt idx="48">
                  <c:v>5.4865025818131288E-3</c:v>
                </c:pt>
                <c:pt idx="49">
                  <c:v>2.221397632316955E-2</c:v>
                </c:pt>
                <c:pt idx="50">
                  <c:v>2.2748109365910464E-2</c:v>
                </c:pt>
                <c:pt idx="51">
                  <c:v>2.8990321391681052E-2</c:v>
                </c:pt>
                <c:pt idx="52">
                  <c:v>-4.7569140421166278E-2</c:v>
                </c:pt>
                <c:pt idx="53">
                  <c:v>6.9143873301234615E-2</c:v>
                </c:pt>
                <c:pt idx="54">
                  <c:v>-8.3337314184714628E-3</c:v>
                </c:pt>
                <c:pt idx="55">
                  <c:v>4.3612874972629799E-2</c:v>
                </c:pt>
                <c:pt idx="56">
                  <c:v>-5.2585089106999758E-2</c:v>
                </c:pt>
                <c:pt idx="57">
                  <c:v>-3.136052086678269E-2</c:v>
                </c:pt>
                <c:pt idx="58">
                  <c:v>3.5773238773279988E-2</c:v>
                </c:pt>
                <c:pt idx="59">
                  <c:v>-8.7956719149039395E-2</c:v>
                </c:pt>
                <c:pt idx="60">
                  <c:v>5.3243883608711947E-5</c:v>
                </c:pt>
                <c:pt idx="61">
                  <c:v>-8.391999322386641E-2</c:v>
                </c:pt>
                <c:pt idx="62">
                  <c:v>1.577120394782025E-2</c:v>
                </c:pt>
              </c:numCache>
            </c:numRef>
          </c:xVal>
          <c:yVal>
            <c:numRef>
              <c:f>'Beta and Cost of Equity'!$B$2:$B$64</c:f>
              <c:numCache>
                <c:formatCode>General</c:formatCode>
                <c:ptCount val="63"/>
                <c:pt idx="0">
                  <c:v>3.8713794255468621E-2</c:v>
                </c:pt>
                <c:pt idx="1">
                  <c:v>3.8341380130083764E-2</c:v>
                </c:pt>
                <c:pt idx="2">
                  <c:v>3.2505231436475647E-3</c:v>
                </c:pt>
                <c:pt idx="3">
                  <c:v>-2.6374115268629128E-3</c:v>
                </c:pt>
                <c:pt idx="4">
                  <c:v>-1.1580915672725635E-2</c:v>
                </c:pt>
                <c:pt idx="5">
                  <c:v>7.230211264796009E-2</c:v>
                </c:pt>
                <c:pt idx="6">
                  <c:v>-5.7375324312565587E-4</c:v>
                </c:pt>
                <c:pt idx="7">
                  <c:v>8.9399248738688646E-3</c:v>
                </c:pt>
                <c:pt idx="8">
                  <c:v>-1.0950321197612743E-2</c:v>
                </c:pt>
                <c:pt idx="9">
                  <c:v>-6.0134552132884884E-2</c:v>
                </c:pt>
                <c:pt idx="10">
                  <c:v>-7.0019580220076361E-3</c:v>
                </c:pt>
                <c:pt idx="11">
                  <c:v>-1.2953546894562238E-2</c:v>
                </c:pt>
                <c:pt idx="12">
                  <c:v>-5.431262342072745E-2</c:v>
                </c:pt>
                <c:pt idx="13">
                  <c:v>2.1902032785036458E-2</c:v>
                </c:pt>
                <c:pt idx="14">
                  <c:v>9.2137914367884155E-2</c:v>
                </c:pt>
                <c:pt idx="15">
                  <c:v>1.6374823567115955E-2</c:v>
                </c:pt>
                <c:pt idx="16">
                  <c:v>3.2673446514334299E-2</c:v>
                </c:pt>
                <c:pt idx="17">
                  <c:v>1.3172191349263585E-2</c:v>
                </c:pt>
                <c:pt idx="18">
                  <c:v>4.936060537746504E-2</c:v>
                </c:pt>
                <c:pt idx="19">
                  <c:v>-0.11591688496990979</c:v>
                </c:pt>
                <c:pt idx="20">
                  <c:v>3.1228377134016435E-2</c:v>
                </c:pt>
                <c:pt idx="21">
                  <c:v>2.6750679758526057E-2</c:v>
                </c:pt>
                <c:pt idx="22">
                  <c:v>2.9838359378453406E-2</c:v>
                </c:pt>
                <c:pt idx="23">
                  <c:v>1.0086597823145799E-2</c:v>
                </c:pt>
                <c:pt idx="24">
                  <c:v>-7.11755082472324E-2</c:v>
                </c:pt>
                <c:pt idx="25">
                  <c:v>6.9256634590166108E-2</c:v>
                </c:pt>
                <c:pt idx="26">
                  <c:v>-6.5048785099045742E-2</c:v>
                </c:pt>
                <c:pt idx="27">
                  <c:v>-1.4283579312045628E-2</c:v>
                </c:pt>
                <c:pt idx="28">
                  <c:v>1.5499214380179965E-2</c:v>
                </c:pt>
                <c:pt idx="29">
                  <c:v>2.0559481141799552E-2</c:v>
                </c:pt>
                <c:pt idx="30">
                  <c:v>4.1275542333849856E-2</c:v>
                </c:pt>
                <c:pt idx="31">
                  <c:v>6.8300257013642451E-2</c:v>
                </c:pt>
                <c:pt idx="32">
                  <c:v>2.0566346664767487E-2</c:v>
                </c:pt>
                <c:pt idx="33">
                  <c:v>-9.6661588490520645E-2</c:v>
                </c:pt>
                <c:pt idx="34">
                  <c:v>-1.8692827872957632E-2</c:v>
                </c:pt>
                <c:pt idx="35">
                  <c:v>0.14420780450371851</c:v>
                </c:pt>
                <c:pt idx="36">
                  <c:v>-8.5975160024711755E-3</c:v>
                </c:pt>
                <c:pt idx="37">
                  <c:v>-4.8034665289920057E-2</c:v>
                </c:pt>
                <c:pt idx="38">
                  <c:v>3.6478713047050401E-2</c:v>
                </c:pt>
                <c:pt idx="39">
                  <c:v>5.2483487165360269E-2</c:v>
                </c:pt>
                <c:pt idx="40">
                  <c:v>-2.3069446105701788E-2</c:v>
                </c:pt>
                <c:pt idx="41">
                  <c:v>-7.9057048978641242E-2</c:v>
                </c:pt>
                <c:pt idx="42">
                  <c:v>5.5211208240373108E-2</c:v>
                </c:pt>
                <c:pt idx="43">
                  <c:v>9.5338626598264212E-2</c:v>
                </c:pt>
                <c:pt idx="44">
                  <c:v>3.653585034539375E-2</c:v>
                </c:pt>
                <c:pt idx="45">
                  <c:v>-2.8627561860665639E-2</c:v>
                </c:pt>
                <c:pt idx="46">
                  <c:v>4.3637925305756602E-2</c:v>
                </c:pt>
                <c:pt idx="47">
                  <c:v>-9.8571275610284202E-3</c:v>
                </c:pt>
                <c:pt idx="48">
                  <c:v>4.0066382069891784E-2</c:v>
                </c:pt>
                <c:pt idx="49">
                  <c:v>-2.0574228228637415E-2</c:v>
                </c:pt>
                <c:pt idx="50">
                  <c:v>4.5283426903147531E-2</c:v>
                </c:pt>
                <c:pt idx="51">
                  <c:v>5.4007479841574318E-3</c:v>
                </c:pt>
                <c:pt idx="52">
                  <c:v>-7.9598838596518368E-2</c:v>
                </c:pt>
                <c:pt idx="53">
                  <c:v>8.5448915392363003E-3</c:v>
                </c:pt>
                <c:pt idx="54">
                  <c:v>-4.266952673313517E-2</c:v>
                </c:pt>
                <c:pt idx="55">
                  <c:v>0.10428106473371485</c:v>
                </c:pt>
                <c:pt idx="56">
                  <c:v>7.1315201225670673E-3</c:v>
                </c:pt>
                <c:pt idx="57">
                  <c:v>-4.4808155446670522E-2</c:v>
                </c:pt>
                <c:pt idx="58">
                  <c:v>8.3840740241499734E-2</c:v>
                </c:pt>
                <c:pt idx="59">
                  <c:v>1.8224929511570176E-2</c:v>
                </c:pt>
                <c:pt idx="60">
                  <c:v>-5.1535520334490513E-3</c:v>
                </c:pt>
                <c:pt idx="61">
                  <c:v>-4.8979695808887922E-3</c:v>
                </c:pt>
                <c:pt idx="62">
                  <c:v>4.4504986888203122E-3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8C-4EDC-9C8C-0B93BC672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164808"/>
        <c:axId val="513178136"/>
      </c:scatterChart>
      <c:valAx>
        <c:axId val="513164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78136"/>
        <c:crosses val="autoZero"/>
        <c:crossBetween val="midCat"/>
      </c:valAx>
      <c:valAx>
        <c:axId val="51317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648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26987</xdr:colOff>
      <xdr:row>0</xdr:row>
      <xdr:rowOff>0</xdr:rowOff>
    </xdr:from>
    <xdr:to>
      <xdr:col>14</xdr:col>
      <xdr:colOff>271854</xdr:colOff>
      <xdr:row>9</xdr:row>
      <xdr:rowOff>98313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8C94A9E-C56B-43B1-8287-AC791BE63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241301</xdr:colOff>
      <xdr:row>30</xdr:row>
      <xdr:rowOff>62230</xdr:rowOff>
    </xdr:from>
    <xdr:to>
      <xdr:col>7</xdr:col>
      <xdr:colOff>927101</xdr:colOff>
      <xdr:row>32</xdr:row>
      <xdr:rowOff>59690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147829-1E50-4BD2-886D-47DEF91CE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6301" y="6325870"/>
          <a:ext cx="3459480" cy="363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408127</xdr:colOff>
      <xdr:row>47</xdr:row>
      <xdr:rowOff>171223</xdr:rowOff>
    </xdr:from>
    <xdr:to>
      <xdr:col>11</xdr:col>
      <xdr:colOff>254186</xdr:colOff>
      <xdr:row>52</xdr:row>
      <xdr:rowOff>74529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B185A6-EE92-4185-8A0F-72F9C468B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23127" y="8976556"/>
          <a:ext cx="6256596" cy="8346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en-chi Yeh" id="{F9443EFB-0BC2-46A4-B1C4-D6FB627ECA51}" userId="Wen-chi Yeh" providerId="None"/>
  <person displayName="玟其 葉" id="{D35833AF-FD21-46D6-9C46-C2EB88BA651B}" userId="03b0d1ce0f65efb4" providerId="Windows Live"/>
  <person displayName="Abigail Pinto" id="{BC28B99E-D18D-4395-B571-787772BD9077}" userId="06b2d55ac8a6bca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1-10-06T03:04:40.04" personId="{D35833AF-FD21-46D6-9C46-C2EB88BA651B}" id="{D0C64EFD-070C-40C9-9AF6-86B2886CE516}">
    <text>Data from "All companies monthly returns.xlsx" on Canvas</text>
  </threadedComment>
  <threadedComment ref="F5" dT="2020-09-28T00:04:08.50" personId="{F9443EFB-0BC2-46A4-B1C4-D6FB627ECA51}" id="{B1046458-CCD1-493F-8FE8-45AD4B49F365}">
    <text>1) Data
2) Data Analysis
3) Covariance
4) Run it on area of B, C, and D
4) Output in a new sheet</text>
  </threadedComment>
  <threadedComment ref="F5" dT="2020-09-28T00:05:22.58" personId="{F9443EFB-0BC2-46A4-B1C4-D6FB627ECA51}" id="{98A096B1-96AA-494F-A4EE-B25E80B5EE02}" parentId="{B1046458-CCD1-493F-8FE8-45AD4B49F365}">
    <text>If you cannot find "Data Analysis":
1) Go to File
2) Options
3) Add-ins
4) Manage: Excel Add-ins, click "Go"
5) Choose "Analysis ToolPak", and then click "OK"</text>
  </threadedComment>
  <threadedComment ref="G15" dT="2020-03-25T20:33:42.79" personId="{BC28B99E-D18D-4395-B571-787772BD9077}" id="{A067CFD7-10D2-4A8D-8553-9D22B803B8CB}">
    <text>Assigned by professor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" dT="2021-10-06T03:04:40.04" personId="{D35833AF-FD21-46D6-9C46-C2EB88BA651B}" id="{74C96B63-0A6E-441E-9005-29A7F80D0A7C}">
    <text>Data from "All companies monthly returns.xlsx" on Canvas</text>
  </threadedComment>
  <threadedComment ref="F1" dT="2020-09-28T00:19:48.17" personId="{F9443EFB-0BC2-46A4-B1C4-D6FB627ECA51}" id="{D4CFB6CE-61DC-4C2D-9ACF-B25876DCDF47}">
    <text>1) Data
2) Data Analysis
2) Regression
4) Run Regression on area of columns B (Y variable) and D (X variable) with data</text>
  </threadedComment>
  <threadedComment ref="P1" dT="2020-09-28T00:41:39.52" personId="{F9443EFB-0BC2-46A4-B1C4-D6FB627ECA51}" id="{137099C7-B320-4E0D-85D3-D7047A71D2A1}">
    <text>Run Regression on area of columns C (Y variable) and D (X variable) with data</text>
  </threadedComment>
  <threadedComment ref="J22" dT="2020-10-05T04:08:17.85" personId="{D35833AF-FD21-46D6-9C46-C2EB88BA651B}" id="{AD39ADF3-B355-46D2-B350-F48ADD98CE3B}">
    <text>Assigned by professor</text>
  </threadedComment>
  <threadedComment ref="T22" dT="2020-10-05T04:08:17.85" personId="{D35833AF-FD21-46D6-9C46-C2EB88BA651B}" id="{3980A870-42FA-441C-8698-7716320FE53B}">
    <text>Assigned by professor</text>
  </threadedComment>
  <threadedComment ref="J27" dT="2020-10-05T04:08:23.31" personId="{D35833AF-FD21-46D6-9C46-C2EB88BA651B}" id="{A0BE6765-E5CF-4071-A481-8BBE3A19EC43}">
    <text>Assigned by professor</text>
  </threadedComment>
  <threadedComment ref="T27" dT="2020-10-05T04:08:23.31" personId="{D35833AF-FD21-46D6-9C46-C2EB88BA651B}" id="{117FF595-863F-48A2-BF7D-206A1E900233}">
    <text>Assigned by professor</text>
  </threadedComment>
  <threadedComment ref="J28" dT="2020-10-05T04:08:29.67" personId="{D35833AF-FD21-46D6-9C46-C2EB88BA651B}" id="{0F9D34F6-37E3-45BB-9405-D3AD86582A41}">
    <text>Assigned by professor</text>
  </threadedComment>
  <threadedComment ref="T28" dT="2020-10-05T04:08:29.67" personId="{D35833AF-FD21-46D6-9C46-C2EB88BA651B}" id="{36D9A00E-463C-4585-8F7E-13315E6A4140}">
    <text>Assigned by professor</text>
  </threadedComment>
  <threadedComment ref="F34" dT="2021-10-06T03:41:15.09" personId="{D35833AF-FD21-46D6-9C46-C2EB88BA651B}" id="{9C3C5F16-66C3-499D-9656-648B9154CC6A}">
    <text>Defensive: when beta &lt; 1
Offensive: when beta &gt; 1
Neutral: when beta = 1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5" dT="2020-09-27T23:55:55.79" personId="{F9443EFB-0BC2-46A4-B1C4-D6FB627ECA51}" id="{1D6868B5-AE27-45D8-BBDB-18E86E35B8FD}">
    <text>Use your company. IBM is an example.</text>
  </threadedComment>
  <threadedComment ref="E5" dT="2020-09-27T23:56:42.36" personId="{F9443EFB-0BC2-46A4-B1C4-D6FB627ECA51}" id="{7F2DB76E-F7DC-437B-B486-C0EFC08A85D7}">
    <text>2 is your company. IBM in this example.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40050-8DD9-4083-8A23-DB93505B091B}">
  <dimension ref="A1:I76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2" width="11.90625" style="16" customWidth="1"/>
    <col min="3" max="3" width="10.81640625" style="16" customWidth="1"/>
    <col min="4" max="4" width="8.7265625" style="16"/>
    <col min="5" max="5" width="5.1796875" style="16" customWidth="1"/>
    <col min="6" max="6" width="13.81640625" style="16" customWidth="1"/>
    <col min="7" max="7" width="13.453125" style="16" customWidth="1"/>
    <col min="8" max="16384" width="8.7265625" style="16"/>
  </cols>
  <sheetData>
    <row r="1" spans="1:9" s="51" customFormat="1" x14ac:dyDescent="0.35">
      <c r="A1" s="61" t="s">
        <v>90</v>
      </c>
      <c r="B1" s="51" t="s">
        <v>2</v>
      </c>
      <c r="C1" s="51" t="s">
        <v>1</v>
      </c>
      <c r="D1" s="51" t="s">
        <v>69</v>
      </c>
      <c r="F1" s="62" t="s">
        <v>91</v>
      </c>
      <c r="G1" s="51" t="s">
        <v>2</v>
      </c>
      <c r="H1" s="51" t="s">
        <v>1</v>
      </c>
      <c r="I1" s="51" t="s">
        <v>69</v>
      </c>
    </row>
    <row r="2" spans="1:9" x14ac:dyDescent="0.35">
      <c r="A2" s="67">
        <v>42856</v>
      </c>
      <c r="B2" s="64">
        <v>2411.8000000000002</v>
      </c>
      <c r="C2" s="16">
        <v>113.884033</v>
      </c>
      <c r="D2" s="16">
        <v>123.940918</v>
      </c>
      <c r="F2" s="62"/>
      <c r="G2" s="51"/>
      <c r="H2" s="51"/>
      <c r="I2" s="51"/>
    </row>
    <row r="3" spans="1:9" x14ac:dyDescent="0.35">
      <c r="A3" s="63">
        <v>42887</v>
      </c>
      <c r="B3" s="64">
        <v>2423.41</v>
      </c>
      <c r="C3" s="16">
        <v>118.25050400000001</v>
      </c>
      <c r="D3" s="16">
        <v>126.135597</v>
      </c>
      <c r="F3" s="68">
        <v>42887</v>
      </c>
      <c r="G3" s="16">
        <f t="shared" ref="G3:G34" si="0">(B3-B2)/B2</f>
        <v>4.81383199270241E-3</v>
      </c>
      <c r="H3" s="16">
        <f t="shared" ref="H3:H34" si="1">(C3-C2)/C2</f>
        <v>3.8341380130083764E-2</v>
      </c>
      <c r="I3" s="16">
        <f t="shared" ref="I3" si="2">(D3-D2)/D2</f>
        <v>1.7707461227614983E-2</v>
      </c>
    </row>
    <row r="4" spans="1:9" x14ac:dyDescent="0.35">
      <c r="A4" s="63">
        <v>42917</v>
      </c>
      <c r="B4" s="64">
        <v>2470.3000000000002</v>
      </c>
      <c r="C4" s="16">
        <v>118.63488</v>
      </c>
      <c r="D4" s="16">
        <v>118.624725</v>
      </c>
      <c r="F4" s="65">
        <v>42917</v>
      </c>
      <c r="G4" s="16">
        <f t="shared" si="0"/>
        <v>1.9348768883515513E-2</v>
      </c>
      <c r="H4" s="16">
        <f t="shared" si="1"/>
        <v>3.2505231436475647E-3</v>
      </c>
      <c r="I4" s="16">
        <f t="shared" ref="I4:I23" si="3">(D4-D3)/D3</f>
        <v>-5.9546013802907721E-2</v>
      </c>
    </row>
    <row r="5" spans="1:9" x14ac:dyDescent="0.35">
      <c r="A5" s="63">
        <v>42948</v>
      </c>
      <c r="B5" s="64">
        <v>2471.65</v>
      </c>
      <c r="C5" s="16">
        <v>118.321991</v>
      </c>
      <c r="D5" s="16">
        <v>117.279976</v>
      </c>
      <c r="F5" s="65">
        <v>42948</v>
      </c>
      <c r="G5" s="16">
        <f t="shared" si="0"/>
        <v>5.4649232886690234E-4</v>
      </c>
      <c r="H5" s="16">
        <f t="shared" si="1"/>
        <v>-2.6374115268629128E-3</v>
      </c>
      <c r="I5" s="16">
        <f t="shared" si="3"/>
        <v>-1.133616115864541E-2</v>
      </c>
    </row>
    <row r="6" spans="1:9" x14ac:dyDescent="0.35">
      <c r="A6" s="63">
        <v>42979</v>
      </c>
      <c r="B6" s="64">
        <v>2519.36</v>
      </c>
      <c r="C6" s="16">
        <v>116.951714</v>
      </c>
      <c r="D6" s="16">
        <v>120.217804</v>
      </c>
      <c r="F6" s="65">
        <v>42979</v>
      </c>
      <c r="G6" s="16">
        <f t="shared" si="0"/>
        <v>1.9302894827342074E-2</v>
      </c>
      <c r="H6" s="16">
        <f t="shared" si="1"/>
        <v>-1.1580915672725635E-2</v>
      </c>
      <c r="I6" s="16">
        <f t="shared" si="3"/>
        <v>2.5049698168423874E-2</v>
      </c>
    </row>
    <row r="7" spans="1:9" x14ac:dyDescent="0.35">
      <c r="A7" s="63">
        <v>43009</v>
      </c>
      <c r="B7" s="64">
        <v>2575.2600000000002</v>
      </c>
      <c r="C7" s="16">
        <v>125.40757000000001</v>
      </c>
      <c r="D7" s="16">
        <v>127.658897</v>
      </c>
      <c r="F7" s="65">
        <v>43009</v>
      </c>
      <c r="G7" s="16">
        <f t="shared" si="0"/>
        <v>2.218817477454595E-2</v>
      </c>
      <c r="H7" s="16">
        <f t="shared" si="1"/>
        <v>7.230211264796009E-2</v>
      </c>
      <c r="I7" s="16">
        <f t="shared" si="3"/>
        <v>6.1896763644093807E-2</v>
      </c>
    </row>
    <row r="8" spans="1:9" x14ac:dyDescent="0.35">
      <c r="A8" s="63">
        <v>43040</v>
      </c>
      <c r="B8" s="64">
        <v>2647.58</v>
      </c>
      <c r="C8" s="16">
        <v>125.335617</v>
      </c>
      <c r="D8" s="16">
        <v>127.58432000000001</v>
      </c>
      <c r="F8" s="65">
        <v>43040</v>
      </c>
      <c r="G8" s="16">
        <f t="shared" si="0"/>
        <v>2.8082601368405406E-2</v>
      </c>
      <c r="H8" s="16">
        <f t="shared" si="1"/>
        <v>-5.7375324312565587E-4</v>
      </c>
      <c r="I8" s="16">
        <f t="shared" si="3"/>
        <v>-5.8418960019677123E-4</v>
      </c>
    </row>
    <row r="9" spans="1:9" x14ac:dyDescent="0.35">
      <c r="A9" s="63">
        <v>43070</v>
      </c>
      <c r="B9" s="64">
        <v>2673.61</v>
      </c>
      <c r="C9" s="16">
        <v>126.456108</v>
      </c>
      <c r="D9" s="16">
        <v>128.399261</v>
      </c>
      <c r="F9" s="65">
        <v>43070</v>
      </c>
      <c r="G9" s="16">
        <f t="shared" si="0"/>
        <v>9.8316198188535195E-3</v>
      </c>
      <c r="H9" s="16">
        <f t="shared" si="1"/>
        <v>8.9399248738688646E-3</v>
      </c>
      <c r="I9" s="16">
        <f t="shared" si="3"/>
        <v>6.3874698709056911E-3</v>
      </c>
    </row>
    <row r="10" spans="1:9" x14ac:dyDescent="0.35">
      <c r="A10" s="63">
        <v>43101</v>
      </c>
      <c r="B10" s="64">
        <v>2823.81</v>
      </c>
      <c r="C10" s="16">
        <v>125.07137299999999</v>
      </c>
      <c r="D10" s="16">
        <v>137.00273100000001</v>
      </c>
      <c r="F10" s="65">
        <v>43101</v>
      </c>
      <c r="G10" s="16">
        <f t="shared" si="0"/>
        <v>5.6178724645703677E-2</v>
      </c>
      <c r="H10" s="16">
        <f t="shared" si="1"/>
        <v>-1.0950321197612743E-2</v>
      </c>
      <c r="I10" s="16">
        <f t="shared" si="3"/>
        <v>6.7005603716052659E-2</v>
      </c>
    </row>
    <row r="11" spans="1:9" x14ac:dyDescent="0.35">
      <c r="A11" s="63">
        <v>43132</v>
      </c>
      <c r="B11" s="64">
        <v>2713.83</v>
      </c>
      <c r="C11" s="16">
        <v>117.550262</v>
      </c>
      <c r="D11" s="16">
        <v>130.416245</v>
      </c>
      <c r="F11" s="65">
        <v>43132</v>
      </c>
      <c r="G11" s="16">
        <f t="shared" si="0"/>
        <v>-3.8947379604151844E-2</v>
      </c>
      <c r="H11" s="16">
        <f t="shared" si="1"/>
        <v>-6.0134552132884884E-2</v>
      </c>
      <c r="I11" s="16">
        <f t="shared" si="3"/>
        <v>-4.8075581792599499E-2</v>
      </c>
    </row>
    <row r="12" spans="1:9" x14ac:dyDescent="0.35">
      <c r="A12" s="63">
        <v>43160</v>
      </c>
      <c r="B12" s="64">
        <v>2640.87</v>
      </c>
      <c r="C12" s="16">
        <v>116.72718</v>
      </c>
      <c r="D12" s="16">
        <v>129.67188999999999</v>
      </c>
      <c r="F12" s="65">
        <v>43160</v>
      </c>
      <c r="G12" s="16">
        <f t="shared" si="0"/>
        <v>-2.6884513768364281E-2</v>
      </c>
      <c r="H12" s="16">
        <f t="shared" si="1"/>
        <v>-7.0019580220076361E-3</v>
      </c>
      <c r="I12" s="16">
        <f t="shared" si="3"/>
        <v>-5.7075328307452265E-3</v>
      </c>
    </row>
    <row r="13" spans="1:9" x14ac:dyDescent="0.35">
      <c r="A13" s="63">
        <v>43191</v>
      </c>
      <c r="B13" s="64">
        <v>2648.05</v>
      </c>
      <c r="C13" s="16">
        <v>115.215149</v>
      </c>
      <c r="D13" s="16">
        <v>122.513451</v>
      </c>
      <c r="F13" s="65">
        <v>43191</v>
      </c>
      <c r="G13" s="16">
        <f t="shared" si="0"/>
        <v>2.718801001185326E-3</v>
      </c>
      <c r="H13" s="16">
        <f t="shared" si="1"/>
        <v>-1.2953546894562238E-2</v>
      </c>
      <c r="I13" s="16">
        <f t="shared" si="3"/>
        <v>-5.5204246656696279E-2</v>
      </c>
    </row>
    <row r="14" spans="1:9" x14ac:dyDescent="0.35">
      <c r="A14" s="63">
        <v>43221</v>
      </c>
      <c r="B14" s="64">
        <v>2705.27</v>
      </c>
      <c r="C14" s="16">
        <v>108.95751199999999</v>
      </c>
      <c r="D14" s="16">
        <v>119.42862700000001</v>
      </c>
      <c r="F14" s="65">
        <v>43221</v>
      </c>
      <c r="G14" s="16">
        <f t="shared" si="0"/>
        <v>2.1608353316591378E-2</v>
      </c>
      <c r="H14" s="16">
        <f t="shared" si="1"/>
        <v>-5.431262342072745E-2</v>
      </c>
      <c r="I14" s="16">
        <f t="shared" si="3"/>
        <v>-2.5179471925903037E-2</v>
      </c>
    </row>
    <row r="15" spans="1:9" x14ac:dyDescent="0.35">
      <c r="A15" s="63">
        <v>43252</v>
      </c>
      <c r="B15" s="64">
        <v>2718.37</v>
      </c>
      <c r="C15" s="16">
        <v>111.343903</v>
      </c>
      <c r="D15" s="16">
        <v>119.378601</v>
      </c>
      <c r="F15" s="65">
        <v>43252</v>
      </c>
      <c r="G15" s="16">
        <f t="shared" si="0"/>
        <v>4.842400204046143E-3</v>
      </c>
      <c r="H15" s="16">
        <f t="shared" si="1"/>
        <v>2.1902032785036458E-2</v>
      </c>
      <c r="I15" s="16">
        <f t="shared" si="3"/>
        <v>-4.188777955221956E-4</v>
      </c>
    </row>
    <row r="16" spans="1:9" x14ac:dyDescent="0.35">
      <c r="A16" s="63">
        <v>43282</v>
      </c>
      <c r="B16" s="64">
        <v>2816.29</v>
      </c>
      <c r="C16" s="16">
        <v>121.602898</v>
      </c>
      <c r="D16" s="16">
        <v>123.84779399999999</v>
      </c>
      <c r="F16" s="65">
        <v>43282</v>
      </c>
      <c r="G16" s="16">
        <f t="shared" si="0"/>
        <v>3.6021586465418642E-2</v>
      </c>
      <c r="H16" s="16">
        <f t="shared" si="1"/>
        <v>9.2137914367884155E-2</v>
      </c>
      <c r="I16" s="16">
        <f t="shared" si="3"/>
        <v>3.7437136660698429E-2</v>
      </c>
    </row>
    <row r="17" spans="1:9" x14ac:dyDescent="0.35">
      <c r="A17" s="63">
        <v>43313</v>
      </c>
      <c r="B17" s="64">
        <v>2901.52</v>
      </c>
      <c r="C17" s="16">
        <v>123.59412399999999</v>
      </c>
      <c r="D17" s="16">
        <v>125.17235599999999</v>
      </c>
      <c r="F17" s="65">
        <v>43313</v>
      </c>
      <c r="G17" s="16">
        <f t="shared" si="0"/>
        <v>3.0263218631603996E-2</v>
      </c>
      <c r="H17" s="16">
        <f t="shared" si="1"/>
        <v>1.6374823567115955E-2</v>
      </c>
      <c r="I17" s="16">
        <f t="shared" si="3"/>
        <v>1.0695079477959861E-2</v>
      </c>
    </row>
    <row r="18" spans="1:9" x14ac:dyDescent="0.35">
      <c r="A18" s="63">
        <v>43344</v>
      </c>
      <c r="B18" s="64">
        <v>2913.98</v>
      </c>
      <c r="C18" s="16">
        <v>127.63236999999999</v>
      </c>
      <c r="D18" s="16">
        <v>130.61030600000001</v>
      </c>
      <c r="F18" s="65">
        <v>43344</v>
      </c>
      <c r="G18" s="16">
        <f t="shared" si="0"/>
        <v>4.2943009181394707E-3</v>
      </c>
      <c r="H18" s="16">
        <f t="shared" si="1"/>
        <v>3.2673446514334299E-2</v>
      </c>
      <c r="I18" s="16">
        <f t="shared" si="3"/>
        <v>4.3443697744252857E-2</v>
      </c>
    </row>
    <row r="19" spans="1:9" x14ac:dyDescent="0.35">
      <c r="A19" s="63">
        <v>43374</v>
      </c>
      <c r="B19" s="64">
        <v>2711.74</v>
      </c>
      <c r="C19" s="16">
        <v>129.313568</v>
      </c>
      <c r="D19" s="16">
        <v>99.704704000000007</v>
      </c>
      <c r="F19" s="65">
        <v>43374</v>
      </c>
      <c r="G19" s="16">
        <f t="shared" si="0"/>
        <v>-6.9403358979814631E-2</v>
      </c>
      <c r="H19" s="16">
        <f t="shared" si="1"/>
        <v>1.3172191349263585E-2</v>
      </c>
      <c r="I19" s="16">
        <f t="shared" si="3"/>
        <v>-0.23662452792967195</v>
      </c>
    </row>
    <row r="20" spans="1:9" x14ac:dyDescent="0.35">
      <c r="A20" s="63">
        <v>43405</v>
      </c>
      <c r="B20" s="64">
        <v>2760.17</v>
      </c>
      <c r="C20" s="16">
        <v>135.696564</v>
      </c>
      <c r="D20" s="16">
        <v>107.340408</v>
      </c>
      <c r="F20" s="65">
        <v>43405</v>
      </c>
      <c r="G20" s="16">
        <f t="shared" si="0"/>
        <v>1.7859381799140144E-2</v>
      </c>
      <c r="H20" s="16">
        <f t="shared" si="1"/>
        <v>4.936060537746504E-2</v>
      </c>
      <c r="I20" s="16">
        <f t="shared" si="3"/>
        <v>7.6583187088143698E-2</v>
      </c>
    </row>
    <row r="21" spans="1:9" x14ac:dyDescent="0.35">
      <c r="A21" s="63">
        <v>43435</v>
      </c>
      <c r="B21" s="64">
        <v>2506.85</v>
      </c>
      <c r="C21" s="16">
        <v>119.96704099999999</v>
      </c>
      <c r="D21" s="16">
        <v>99.434974999999994</v>
      </c>
      <c r="F21" s="65">
        <v>43435</v>
      </c>
      <c r="G21" s="16">
        <f t="shared" si="0"/>
        <v>-9.1776955767217297E-2</v>
      </c>
      <c r="H21" s="16">
        <f t="shared" si="1"/>
        <v>-0.11591688496990979</v>
      </c>
      <c r="I21" s="16">
        <f t="shared" si="3"/>
        <v>-7.3648248104292671E-2</v>
      </c>
    </row>
    <row r="22" spans="1:9" x14ac:dyDescent="0.35">
      <c r="A22" s="63">
        <v>43466</v>
      </c>
      <c r="B22" s="64">
        <v>2704.1</v>
      </c>
      <c r="C22" s="16">
        <v>123.71341700000001</v>
      </c>
      <c r="D22" s="16">
        <v>117.58644099999999</v>
      </c>
      <c r="F22" s="65">
        <v>43466</v>
      </c>
      <c r="G22" s="16">
        <f t="shared" si="0"/>
        <v>7.8684404731036967E-2</v>
      </c>
      <c r="H22" s="16">
        <f t="shared" si="1"/>
        <v>3.1228377134016435E-2</v>
      </c>
      <c r="I22" s="16">
        <f t="shared" si="3"/>
        <v>0.1825460910509607</v>
      </c>
    </row>
    <row r="23" spans="1:9" x14ac:dyDescent="0.35">
      <c r="A23" s="63">
        <v>43497</v>
      </c>
      <c r="B23" s="64">
        <v>2784.49</v>
      </c>
      <c r="C23" s="16">
        <v>127.022835</v>
      </c>
      <c r="D23" s="16">
        <v>120.831841</v>
      </c>
      <c r="F23" s="65">
        <v>43497</v>
      </c>
      <c r="G23" s="16">
        <f t="shared" si="0"/>
        <v>2.9728930143115964E-2</v>
      </c>
      <c r="H23" s="16">
        <f t="shared" si="1"/>
        <v>2.6750679758526057E-2</v>
      </c>
      <c r="I23" s="16">
        <f t="shared" si="3"/>
        <v>2.7600121003747393E-2</v>
      </c>
    </row>
    <row r="24" spans="1:9" x14ac:dyDescent="0.35">
      <c r="A24" s="63">
        <v>43525</v>
      </c>
      <c r="B24" s="64">
        <v>2834.4</v>
      </c>
      <c r="C24" s="16">
        <v>130.81298799999999</v>
      </c>
      <c r="D24" s="16">
        <v>124.86798899999999</v>
      </c>
      <c r="F24" s="65">
        <v>43525</v>
      </c>
      <c r="G24" s="16">
        <f t="shared" si="0"/>
        <v>1.7924287751078408E-2</v>
      </c>
      <c r="H24" s="16">
        <f t="shared" si="1"/>
        <v>2.9838359378453406E-2</v>
      </c>
      <c r="I24" s="16">
        <f t="shared" ref="I24:I53" si="4">(D24-D23)/D23</f>
        <v>3.3403016676705248E-2</v>
      </c>
    </row>
    <row r="25" spans="1:9" x14ac:dyDescent="0.35">
      <c r="A25" s="63">
        <v>43556</v>
      </c>
      <c r="B25" s="64">
        <v>2945.83</v>
      </c>
      <c r="C25" s="16">
        <v>132.13244599999999</v>
      </c>
      <c r="D25" s="16">
        <v>124.133484</v>
      </c>
      <c r="F25" s="65">
        <v>43556</v>
      </c>
      <c r="G25" s="16">
        <f t="shared" si="0"/>
        <v>3.9313434942139368E-2</v>
      </c>
      <c r="H25" s="16">
        <f t="shared" si="1"/>
        <v>1.0086597823145799E-2</v>
      </c>
      <c r="I25" s="16">
        <f t="shared" si="4"/>
        <v>-5.8822521759359691E-3</v>
      </c>
    </row>
    <row r="26" spans="1:9" x14ac:dyDescent="0.35">
      <c r="A26" s="63">
        <v>43586</v>
      </c>
      <c r="B26" s="64">
        <v>2752.06</v>
      </c>
      <c r="C26" s="16">
        <v>122.727852</v>
      </c>
      <c r="D26" s="16">
        <v>112.38121</v>
      </c>
      <c r="F26" s="65">
        <v>43586</v>
      </c>
      <c r="G26" s="16">
        <f t="shared" si="0"/>
        <v>-6.5777726481161508E-2</v>
      </c>
      <c r="H26" s="16">
        <f t="shared" si="1"/>
        <v>-7.11755082472324E-2</v>
      </c>
      <c r="I26" s="16">
        <f t="shared" si="4"/>
        <v>-9.4674487666840959E-2</v>
      </c>
    </row>
    <row r="27" spans="1:9" x14ac:dyDescent="0.35">
      <c r="A27" s="63">
        <v>43617</v>
      </c>
      <c r="B27" s="64">
        <v>2941.76</v>
      </c>
      <c r="C27" s="16">
        <v>131.22756999999999</v>
      </c>
      <c r="D27" s="16">
        <v>123.485733</v>
      </c>
      <c r="F27" s="65">
        <v>43617</v>
      </c>
      <c r="G27" s="16">
        <f t="shared" si="0"/>
        <v>6.8930183208215035E-2</v>
      </c>
      <c r="H27" s="16">
        <f t="shared" si="1"/>
        <v>6.9256634590166108E-2</v>
      </c>
      <c r="I27" s="16">
        <f t="shared" si="4"/>
        <v>9.8811206962445067E-2</v>
      </c>
    </row>
    <row r="28" spans="1:9" x14ac:dyDescent="0.35">
      <c r="A28" s="63">
        <v>43647</v>
      </c>
      <c r="B28" s="64">
        <v>2980.38</v>
      </c>
      <c r="C28" s="16">
        <v>122.69137600000001</v>
      </c>
      <c r="D28" s="16">
        <v>132.74491900000001</v>
      </c>
      <c r="F28" s="65">
        <v>43647</v>
      </c>
      <c r="G28" s="16">
        <f t="shared" si="0"/>
        <v>1.312819536603934E-2</v>
      </c>
      <c r="H28" s="16">
        <f t="shared" si="1"/>
        <v>-6.5048785099045742E-2</v>
      </c>
      <c r="I28" s="16">
        <f t="shared" si="4"/>
        <v>7.4981828062680042E-2</v>
      </c>
    </row>
    <row r="29" spans="1:9" x14ac:dyDescent="0.35">
      <c r="A29" s="63">
        <v>43678</v>
      </c>
      <c r="B29" s="64">
        <v>2926.46</v>
      </c>
      <c r="C29" s="16">
        <v>120.93890399999999</v>
      </c>
      <c r="D29" s="16">
        <v>121.363457</v>
      </c>
      <c r="F29" s="65">
        <v>43678</v>
      </c>
      <c r="G29" s="16">
        <f t="shared" si="0"/>
        <v>-1.8091652742267789E-2</v>
      </c>
      <c r="H29" s="16">
        <f t="shared" si="1"/>
        <v>-1.4283579312045628E-2</v>
      </c>
      <c r="I29" s="16">
        <f t="shared" si="4"/>
        <v>-8.5739341932929369E-2</v>
      </c>
    </row>
    <row r="30" spans="1:9" x14ac:dyDescent="0.35">
      <c r="A30" s="63">
        <v>43709</v>
      </c>
      <c r="B30" s="64">
        <v>2976.74</v>
      </c>
      <c r="C30" s="16">
        <v>122.813362</v>
      </c>
      <c r="D30" s="16">
        <v>131.75402800000001</v>
      </c>
      <c r="F30" s="65">
        <v>43709</v>
      </c>
      <c r="G30" s="16">
        <f t="shared" si="0"/>
        <v>1.7181167690656883E-2</v>
      </c>
      <c r="H30" s="16">
        <f t="shared" si="1"/>
        <v>1.5499214380179965E-2</v>
      </c>
      <c r="I30" s="16">
        <f t="shared" si="4"/>
        <v>8.5615318291403064E-2</v>
      </c>
    </row>
    <row r="31" spans="1:9" x14ac:dyDescent="0.35">
      <c r="A31" s="63">
        <v>43739</v>
      </c>
      <c r="B31" s="64">
        <v>3037.56</v>
      </c>
      <c r="C31" s="16">
        <v>125.338341</v>
      </c>
      <c r="D31" s="16">
        <v>121.162605</v>
      </c>
      <c r="F31" s="65">
        <v>43739</v>
      </c>
      <c r="G31" s="16">
        <f t="shared" si="0"/>
        <v>2.0431747482144953E-2</v>
      </c>
      <c r="H31" s="16">
        <f t="shared" si="1"/>
        <v>2.0559481141799552E-2</v>
      </c>
      <c r="I31" s="16">
        <f t="shared" si="4"/>
        <v>-8.0387849698227112E-2</v>
      </c>
    </row>
    <row r="32" spans="1:9" x14ac:dyDescent="0.35">
      <c r="A32" s="63">
        <v>43770</v>
      </c>
      <c r="B32" s="64">
        <v>3140.98</v>
      </c>
      <c r="C32" s="16">
        <v>130.51174900000001</v>
      </c>
      <c r="D32" s="16">
        <v>121.81493399999999</v>
      </c>
      <c r="F32" s="65">
        <v>43770</v>
      </c>
      <c r="G32" s="16">
        <f t="shared" si="0"/>
        <v>3.4047064090915104E-2</v>
      </c>
      <c r="H32" s="16">
        <f t="shared" si="1"/>
        <v>4.1275542333849856E-2</v>
      </c>
      <c r="I32" s="16">
        <f t="shared" si="4"/>
        <v>5.3839136258253496E-3</v>
      </c>
    </row>
    <row r="33" spans="1:9" x14ac:dyDescent="0.35">
      <c r="A33" s="63">
        <v>43800</v>
      </c>
      <c r="B33" s="64">
        <v>3230.78</v>
      </c>
      <c r="C33" s="16">
        <v>139.425735</v>
      </c>
      <c r="D33" s="16">
        <v>122.877831</v>
      </c>
      <c r="F33" s="65">
        <v>43800</v>
      </c>
      <c r="G33" s="16">
        <f t="shared" si="0"/>
        <v>2.8589803182446302E-2</v>
      </c>
      <c r="H33" s="16">
        <f t="shared" si="1"/>
        <v>6.8300257013642451E-2</v>
      </c>
      <c r="I33" s="16">
        <f t="shared" si="4"/>
        <v>8.7255065130192218E-3</v>
      </c>
    </row>
    <row r="34" spans="1:9" x14ac:dyDescent="0.35">
      <c r="A34" s="63">
        <v>43831</v>
      </c>
      <c r="B34" s="64">
        <v>3225.52</v>
      </c>
      <c r="C34" s="16">
        <v>142.29321300000001</v>
      </c>
      <c r="D34" s="16">
        <v>131.760895</v>
      </c>
      <c r="F34" s="65">
        <v>43831</v>
      </c>
      <c r="G34" s="16">
        <f t="shared" si="0"/>
        <v>-1.6280898111292685E-3</v>
      </c>
      <c r="H34" s="16">
        <f t="shared" si="1"/>
        <v>2.0566346664767487E-2</v>
      </c>
      <c r="I34" s="16">
        <f t="shared" si="4"/>
        <v>7.2291835945574298E-2</v>
      </c>
    </row>
    <row r="35" spans="1:9" x14ac:dyDescent="0.35">
      <c r="A35" s="63">
        <v>43862</v>
      </c>
      <c r="B35" s="64">
        <v>2954.22</v>
      </c>
      <c r="C35" s="16">
        <v>128.53892500000001</v>
      </c>
      <c r="D35" s="16">
        <v>119.311775</v>
      </c>
      <c r="F35" s="65">
        <v>43862</v>
      </c>
      <c r="G35" s="16">
        <f t="shared" ref="G35:G53" si="5">(B35-B34)/B34</f>
        <v>-8.4110469009648109E-2</v>
      </c>
      <c r="H35" s="16">
        <f t="shared" ref="H35:H53" si="6">(C35-C34)/C34</f>
        <v>-9.6661588490520645E-2</v>
      </c>
      <c r="I35" s="16">
        <f t="shared" si="4"/>
        <v>-9.4482661187145142E-2</v>
      </c>
    </row>
    <row r="36" spans="1:9" x14ac:dyDescent="0.35">
      <c r="A36" s="63">
        <v>43891</v>
      </c>
      <c r="B36" s="64">
        <v>2584.59</v>
      </c>
      <c r="C36" s="16">
        <v>126.136169</v>
      </c>
      <c r="D36" s="16">
        <v>102.75421900000001</v>
      </c>
      <c r="F36" s="65">
        <v>43891</v>
      </c>
      <c r="G36" s="16">
        <f t="shared" si="5"/>
        <v>-0.12511932083595659</v>
      </c>
      <c r="H36" s="16">
        <f t="shared" si="6"/>
        <v>-1.8692827872957632E-2</v>
      </c>
      <c r="I36" s="16">
        <f t="shared" si="4"/>
        <v>-0.1387755399666126</v>
      </c>
    </row>
    <row r="37" spans="1:9" x14ac:dyDescent="0.35">
      <c r="A37" s="63">
        <v>43922</v>
      </c>
      <c r="B37" s="64">
        <v>2912.43</v>
      </c>
      <c r="C37" s="16">
        <v>144.32598899999999</v>
      </c>
      <c r="D37" s="16">
        <v>116.30594600000001</v>
      </c>
      <c r="F37" s="65">
        <v>43922</v>
      </c>
      <c r="G37" s="16">
        <f t="shared" si="5"/>
        <v>0.12684410293315368</v>
      </c>
      <c r="H37" s="16">
        <f t="shared" si="6"/>
        <v>0.14420780450371851</v>
      </c>
      <c r="I37" s="16">
        <f t="shared" si="4"/>
        <v>0.13188487180268479</v>
      </c>
    </row>
    <row r="38" spans="1:9" x14ac:dyDescent="0.35">
      <c r="A38" s="63">
        <v>43952</v>
      </c>
      <c r="B38" s="64">
        <v>3044.31</v>
      </c>
      <c r="C38" s="16">
        <v>143.08514400000001</v>
      </c>
      <c r="D38" s="16">
        <v>115.69459500000001</v>
      </c>
      <c r="F38" s="65">
        <v>43952</v>
      </c>
      <c r="G38" s="16">
        <f t="shared" si="5"/>
        <v>4.5281775012618368E-2</v>
      </c>
      <c r="H38" s="16">
        <f t="shared" si="6"/>
        <v>-8.5975160024711755E-3</v>
      </c>
      <c r="I38" s="16">
        <f t="shared" si="4"/>
        <v>-5.2564036579866606E-3</v>
      </c>
    </row>
    <row r="39" spans="1:9" x14ac:dyDescent="0.35">
      <c r="A39" s="63">
        <v>43983</v>
      </c>
      <c r="B39" s="64">
        <v>3100.29</v>
      </c>
      <c r="C39" s="16">
        <v>136.212097</v>
      </c>
      <c r="D39" s="16">
        <v>113.36927799999999</v>
      </c>
      <c r="F39" s="65">
        <v>43983</v>
      </c>
      <c r="G39" s="16">
        <f t="shared" si="5"/>
        <v>1.838840328350267E-2</v>
      </c>
      <c r="H39" s="16">
        <f t="shared" si="6"/>
        <v>-4.8034665289920057E-2</v>
      </c>
      <c r="I39" s="16">
        <f t="shared" si="4"/>
        <v>-2.0098752236437773E-2</v>
      </c>
    </row>
    <row r="40" spans="1:9" x14ac:dyDescent="0.35">
      <c r="A40" s="63">
        <v>44013</v>
      </c>
      <c r="B40" s="64">
        <v>3271.12</v>
      </c>
      <c r="C40" s="16">
        <v>141.180939</v>
      </c>
      <c r="D40" s="16">
        <v>115.406311</v>
      </c>
      <c r="F40" s="65">
        <v>44013</v>
      </c>
      <c r="G40" s="16">
        <f t="shared" si="5"/>
        <v>5.5101296975444213E-2</v>
      </c>
      <c r="H40" s="16">
        <f t="shared" si="6"/>
        <v>3.6478713047050401E-2</v>
      </c>
      <c r="I40" s="16">
        <f t="shared" si="4"/>
        <v>1.7968121839851605E-2</v>
      </c>
    </row>
    <row r="41" spans="1:9" x14ac:dyDescent="0.35">
      <c r="A41" s="63">
        <v>44044</v>
      </c>
      <c r="B41" s="64">
        <v>3500.31</v>
      </c>
      <c r="C41" s="16">
        <v>148.59060700000001</v>
      </c>
      <c r="D41" s="16">
        <v>115.753632</v>
      </c>
      <c r="F41" s="65">
        <v>44044</v>
      </c>
      <c r="G41" s="16">
        <f t="shared" si="5"/>
        <v>7.0064687324219249E-2</v>
      </c>
      <c r="H41" s="16">
        <f t="shared" si="6"/>
        <v>5.2483487165360269E-2</v>
      </c>
      <c r="I41" s="16">
        <f t="shared" si="4"/>
        <v>3.0095494517625972E-3</v>
      </c>
    </row>
    <row r="42" spans="1:9" x14ac:dyDescent="0.35">
      <c r="A42" s="63">
        <v>44075</v>
      </c>
      <c r="B42" s="64">
        <v>3363</v>
      </c>
      <c r="C42" s="16">
        <v>145.16270399999999</v>
      </c>
      <c r="D42" s="16">
        <v>115.709587</v>
      </c>
      <c r="F42" s="65">
        <v>44075</v>
      </c>
      <c r="G42" s="16">
        <f t="shared" si="5"/>
        <v>-3.9227954095494386E-2</v>
      </c>
      <c r="H42" s="16">
        <f t="shared" si="6"/>
        <v>-2.3069446105701788E-2</v>
      </c>
      <c r="I42" s="16">
        <f t="shared" si="4"/>
        <v>-3.8050641901238145E-4</v>
      </c>
    </row>
    <row r="43" spans="1:9" x14ac:dyDescent="0.35">
      <c r="A43" s="63">
        <v>44105</v>
      </c>
      <c r="B43" s="64">
        <v>3269.96</v>
      </c>
      <c r="C43" s="16">
        <v>133.68656899999999</v>
      </c>
      <c r="D43" s="16">
        <v>106.189964</v>
      </c>
      <c r="F43" s="65">
        <v>44105</v>
      </c>
      <c r="G43" s="16">
        <f t="shared" si="5"/>
        <v>-2.766577460600653E-2</v>
      </c>
      <c r="H43" s="16">
        <f t="shared" si="6"/>
        <v>-7.9057048978641242E-2</v>
      </c>
      <c r="I43" s="16">
        <f t="shared" si="4"/>
        <v>-8.2271687651948797E-2</v>
      </c>
    </row>
    <row r="44" spans="1:9" x14ac:dyDescent="0.35">
      <c r="A44" s="63">
        <v>44136</v>
      </c>
      <c r="B44" s="64">
        <v>3621.63</v>
      </c>
      <c r="C44" s="16">
        <v>141.067566</v>
      </c>
      <c r="D44" s="16">
        <v>117.468948</v>
      </c>
      <c r="F44" s="65">
        <v>44136</v>
      </c>
      <c r="G44" s="16">
        <f t="shared" si="5"/>
        <v>0.10754565805086302</v>
      </c>
      <c r="H44" s="16">
        <f t="shared" si="6"/>
        <v>5.5211208240373108E-2</v>
      </c>
      <c r="I44" s="16">
        <f t="shared" si="4"/>
        <v>0.10621515984316554</v>
      </c>
    </row>
    <row r="45" spans="1:9" x14ac:dyDescent="0.35">
      <c r="A45" s="63">
        <v>44166</v>
      </c>
      <c r="B45" s="64">
        <v>3756.07</v>
      </c>
      <c r="C45" s="16">
        <v>154.51675399999999</v>
      </c>
      <c r="D45" s="16">
        <v>121.449242</v>
      </c>
      <c r="F45" s="65">
        <v>44166</v>
      </c>
      <c r="G45" s="16">
        <f t="shared" si="5"/>
        <v>3.7121406659432372E-2</v>
      </c>
      <c r="H45" s="16">
        <f t="shared" si="6"/>
        <v>9.5338626598264212E-2</v>
      </c>
      <c r="I45" s="16">
        <f t="shared" si="4"/>
        <v>3.3883797103554554E-2</v>
      </c>
    </row>
    <row r="46" spans="1:9" x14ac:dyDescent="0.35">
      <c r="A46" s="63">
        <v>44197</v>
      </c>
      <c r="B46" s="64">
        <v>3714.24</v>
      </c>
      <c r="C46" s="16">
        <v>160.16215500000001</v>
      </c>
      <c r="D46" s="16">
        <v>114.917542</v>
      </c>
      <c r="F46" s="65">
        <v>44197</v>
      </c>
      <c r="G46" s="16">
        <f t="shared" si="5"/>
        <v>-1.1136640158463601E-2</v>
      </c>
      <c r="H46" s="16">
        <f t="shared" si="6"/>
        <v>3.653585034539375E-2</v>
      </c>
      <c r="I46" s="16">
        <f t="shared" si="4"/>
        <v>-5.3781315489807677E-2</v>
      </c>
    </row>
    <row r="47" spans="1:9" x14ac:dyDescent="0.35">
      <c r="A47" s="63">
        <v>44228</v>
      </c>
      <c r="B47" s="64">
        <v>3811.15</v>
      </c>
      <c r="C47" s="16">
        <v>155.57710299999999</v>
      </c>
      <c r="D47" s="16">
        <v>114.74387400000001</v>
      </c>
      <c r="F47" s="65">
        <v>44228</v>
      </c>
      <c r="G47" s="16">
        <f t="shared" si="5"/>
        <v>2.6091474971999741E-2</v>
      </c>
      <c r="H47" s="16">
        <f t="shared" si="6"/>
        <v>-2.8627561860665639E-2</v>
      </c>
      <c r="I47" s="16">
        <f t="shared" si="4"/>
        <v>-1.5112401203289936E-3</v>
      </c>
    </row>
    <row r="48" spans="1:9" x14ac:dyDescent="0.35">
      <c r="A48" s="63">
        <v>44256</v>
      </c>
      <c r="B48" s="64">
        <v>3972.89</v>
      </c>
      <c r="C48" s="16">
        <v>162.366165</v>
      </c>
      <c r="D48" s="16">
        <v>130.287521</v>
      </c>
      <c r="F48" s="65">
        <v>44256</v>
      </c>
      <c r="G48" s="16">
        <f t="shared" si="5"/>
        <v>4.2438634008107733E-2</v>
      </c>
      <c r="H48" s="16">
        <f t="shared" si="6"/>
        <v>4.3637925305756602E-2</v>
      </c>
      <c r="I48" s="16">
        <f t="shared" si="4"/>
        <v>0.13546385055815696</v>
      </c>
    </row>
    <row r="49" spans="1:9" x14ac:dyDescent="0.35">
      <c r="A49" s="63">
        <v>44287</v>
      </c>
      <c r="B49" s="64">
        <v>4181.17</v>
      </c>
      <c r="C49" s="16">
        <v>160.76570100000001</v>
      </c>
      <c r="D49" s="16">
        <v>138.715271</v>
      </c>
      <c r="F49" s="65">
        <v>44287</v>
      </c>
      <c r="G49" s="16">
        <f t="shared" si="5"/>
        <v>5.2425312555847307E-2</v>
      </c>
      <c r="H49" s="16">
        <f t="shared" si="6"/>
        <v>-9.8571275610284202E-3</v>
      </c>
      <c r="I49" s="16">
        <f t="shared" si="4"/>
        <v>6.4685780612864702E-2</v>
      </c>
    </row>
    <row r="50" spans="1:9" x14ac:dyDescent="0.35">
      <c r="A50" s="63">
        <v>44317</v>
      </c>
      <c r="B50" s="64">
        <v>4204.1099999999997</v>
      </c>
      <c r="C50" s="16">
        <v>167.20700099999999</v>
      </c>
      <c r="D50" s="16">
        <v>140.533783</v>
      </c>
      <c r="F50" s="65">
        <v>44317</v>
      </c>
      <c r="G50" s="16">
        <f t="shared" si="5"/>
        <v>5.4865025818131288E-3</v>
      </c>
      <c r="H50" s="16">
        <f t="shared" si="6"/>
        <v>4.0066382069891784E-2</v>
      </c>
      <c r="I50" s="16">
        <f t="shared" si="4"/>
        <v>1.3109674132417608E-2</v>
      </c>
    </row>
    <row r="51" spans="1:9" x14ac:dyDescent="0.35">
      <c r="A51" s="63">
        <v>44348</v>
      </c>
      <c r="B51" s="64">
        <v>4297.5</v>
      </c>
      <c r="C51" s="16">
        <v>163.76684599999999</v>
      </c>
      <c r="D51" s="16">
        <v>144.921539</v>
      </c>
      <c r="F51" s="65">
        <v>44348</v>
      </c>
      <c r="G51" s="16">
        <f t="shared" si="5"/>
        <v>2.221397632316955E-2</v>
      </c>
      <c r="H51" s="16">
        <f t="shared" si="6"/>
        <v>-2.0574228228637415E-2</v>
      </c>
      <c r="I51" s="16">
        <f t="shared" si="4"/>
        <v>3.1222072773775655E-2</v>
      </c>
    </row>
    <row r="52" spans="1:9" x14ac:dyDescent="0.35">
      <c r="A52" s="63">
        <v>44378</v>
      </c>
      <c r="B52" s="64">
        <v>4395.26</v>
      </c>
      <c r="C52" s="16">
        <v>171.18277</v>
      </c>
      <c r="D52" s="16">
        <v>139.355637</v>
      </c>
      <c r="F52" s="65">
        <v>44378</v>
      </c>
      <c r="G52" s="16">
        <f t="shared" si="5"/>
        <v>2.2748109365910464E-2</v>
      </c>
      <c r="H52" s="16">
        <f t="shared" si="6"/>
        <v>4.5283426903147531E-2</v>
      </c>
      <c r="I52" s="16">
        <f t="shared" si="4"/>
        <v>-3.8406313087801215E-2</v>
      </c>
    </row>
    <row r="53" spans="1:9" x14ac:dyDescent="0.35">
      <c r="A53" s="63">
        <v>44409</v>
      </c>
      <c r="B53" s="64">
        <v>4522.68</v>
      </c>
      <c r="C53" s="16">
        <v>172.10728499999999</v>
      </c>
      <c r="D53" s="16">
        <v>138.74267599999999</v>
      </c>
      <c r="F53" s="65">
        <v>44409</v>
      </c>
      <c r="G53" s="16">
        <f t="shared" si="5"/>
        <v>2.8990321391681052E-2</v>
      </c>
      <c r="H53" s="16">
        <f t="shared" si="6"/>
        <v>5.4007479841574318E-3</v>
      </c>
      <c r="I53" s="16">
        <f t="shared" si="4"/>
        <v>-4.3985375345814877E-3</v>
      </c>
    </row>
    <row r="54" spans="1:9" x14ac:dyDescent="0.35">
      <c r="A54" s="63">
        <v>44440</v>
      </c>
      <c r="B54" s="64">
        <v>4307.54</v>
      </c>
      <c r="C54" s="16">
        <v>158.40774500000001</v>
      </c>
      <c r="D54" s="16">
        <v>127.958984</v>
      </c>
      <c r="F54" s="65">
        <v>44440</v>
      </c>
      <c r="G54" s="16">
        <f t="shared" ref="G54:G64" si="7">(B54-B53)/B53</f>
        <v>-4.7569140421166278E-2</v>
      </c>
      <c r="H54" s="16">
        <f t="shared" ref="H54:H64" si="8">(C54-C53)/C53</f>
        <v>-7.9598838596518368E-2</v>
      </c>
      <c r="I54" s="16">
        <f t="shared" ref="I54:I64" si="9">(D54-D53)/D53</f>
        <v>-7.7724405430957585E-2</v>
      </c>
    </row>
    <row r="55" spans="1:9" x14ac:dyDescent="0.35">
      <c r="A55" s="63">
        <v>44470</v>
      </c>
      <c r="B55" s="64">
        <v>4605.38</v>
      </c>
      <c r="C55" s="16">
        <v>159.76132200000001</v>
      </c>
      <c r="D55" s="16">
        <v>115.221115</v>
      </c>
      <c r="F55" s="65">
        <v>44470</v>
      </c>
      <c r="G55" s="16">
        <f t="shared" si="7"/>
        <v>6.9143873301234615E-2</v>
      </c>
      <c r="H55" s="16">
        <f t="shared" si="8"/>
        <v>8.5448915392363003E-3</v>
      </c>
      <c r="I55" s="16">
        <f t="shared" si="9"/>
        <v>-9.9546499994091889E-2</v>
      </c>
    </row>
    <row r="56" spans="1:9" x14ac:dyDescent="0.35">
      <c r="A56" s="63">
        <v>44501</v>
      </c>
      <c r="B56" s="64">
        <v>4567</v>
      </c>
      <c r="C56" s="16">
        <v>152.94438199999999</v>
      </c>
      <c r="D56" s="16">
        <v>112.81407900000001</v>
      </c>
      <c r="F56" s="65">
        <v>44501</v>
      </c>
      <c r="G56" s="16">
        <f t="shared" si="7"/>
        <v>-8.3337314184714628E-3</v>
      </c>
      <c r="H56" s="16">
        <f t="shared" si="8"/>
        <v>-4.266952673313517E-2</v>
      </c>
      <c r="I56" s="16">
        <f t="shared" si="9"/>
        <v>-2.0890580689138367E-2</v>
      </c>
    </row>
    <row r="57" spans="1:9" x14ac:dyDescent="0.35">
      <c r="A57" s="63">
        <v>44531</v>
      </c>
      <c r="B57" s="64">
        <v>4766.18</v>
      </c>
      <c r="C57" s="16">
        <v>168.893585</v>
      </c>
      <c r="D57" s="16">
        <v>130.48629800000001</v>
      </c>
      <c r="F57" s="65">
        <v>44531</v>
      </c>
      <c r="G57" s="16">
        <f t="shared" si="7"/>
        <v>4.3612874972629799E-2</v>
      </c>
      <c r="H57" s="16">
        <f t="shared" si="8"/>
        <v>0.10428106473371485</v>
      </c>
      <c r="I57" s="16">
        <f t="shared" si="9"/>
        <v>0.15664905618739305</v>
      </c>
    </row>
    <row r="58" spans="1:9" x14ac:dyDescent="0.35">
      <c r="A58" s="63">
        <v>44562</v>
      </c>
      <c r="B58" s="64">
        <v>4515.55</v>
      </c>
      <c r="C58" s="16">
        <v>170.09805299999999</v>
      </c>
      <c r="D58" s="16">
        <v>130.398438</v>
      </c>
      <c r="F58" s="65">
        <v>44562</v>
      </c>
      <c r="G58" s="16">
        <f t="shared" si="7"/>
        <v>-5.2585089106999758E-2</v>
      </c>
      <c r="H58" s="16">
        <f t="shared" si="8"/>
        <v>7.1315201225670673E-3</v>
      </c>
      <c r="I58" s="16">
        <f t="shared" si="9"/>
        <v>-6.733274017782792E-4</v>
      </c>
    </row>
    <row r="59" spans="1:9" x14ac:dyDescent="0.35">
      <c r="A59" s="63">
        <v>44593</v>
      </c>
      <c r="B59" s="64">
        <v>4373.9399999999996</v>
      </c>
      <c r="C59" s="16">
        <v>162.47627299999999</v>
      </c>
      <c r="D59" s="16">
        <v>119.601044</v>
      </c>
      <c r="F59" s="65">
        <v>44593</v>
      </c>
      <c r="G59" s="16">
        <f t="shared" si="7"/>
        <v>-3.136052086678269E-2</v>
      </c>
      <c r="H59" s="16">
        <f t="shared" si="8"/>
        <v>-4.4808155446670522E-2</v>
      </c>
      <c r="I59" s="16">
        <f t="shared" si="9"/>
        <v>-8.2803093086130347E-2</v>
      </c>
    </row>
    <row r="60" spans="1:9" x14ac:dyDescent="0.35">
      <c r="A60" s="63">
        <v>44621</v>
      </c>
      <c r="B60" s="64">
        <v>4530.41</v>
      </c>
      <c r="C60" s="16">
        <v>176.09840399999999</v>
      </c>
      <c r="D60" s="16">
        <v>128.46168499999999</v>
      </c>
      <c r="F60" s="65">
        <v>44621</v>
      </c>
      <c r="G60" s="16">
        <f t="shared" si="7"/>
        <v>3.5773238773279988E-2</v>
      </c>
      <c r="H60" s="16">
        <f t="shared" si="8"/>
        <v>8.3840740241499734E-2</v>
      </c>
      <c r="I60" s="16">
        <f t="shared" si="9"/>
        <v>7.408498039532152E-2</v>
      </c>
    </row>
    <row r="61" spans="1:9" x14ac:dyDescent="0.35">
      <c r="A61" s="63">
        <v>44652</v>
      </c>
      <c r="B61" s="64">
        <v>4131.93</v>
      </c>
      <c r="C61" s="16">
        <v>179.307785</v>
      </c>
      <c r="D61" s="16">
        <v>130.62544299999999</v>
      </c>
      <c r="F61" s="65">
        <v>44652</v>
      </c>
      <c r="G61" s="16">
        <f t="shared" si="7"/>
        <v>-8.7956719149039395E-2</v>
      </c>
      <c r="H61" s="16">
        <f t="shared" si="8"/>
        <v>1.8224929511570176E-2</v>
      </c>
      <c r="I61" s="16">
        <f t="shared" si="9"/>
        <v>1.6843605935886654E-2</v>
      </c>
    </row>
    <row r="62" spans="1:9" x14ac:dyDescent="0.35">
      <c r="A62" s="63">
        <v>44682</v>
      </c>
      <c r="B62" s="64">
        <v>4132.1499999999996</v>
      </c>
      <c r="C62" s="16">
        <v>178.383713</v>
      </c>
      <c r="D62" s="16">
        <v>137.17598000000001</v>
      </c>
      <c r="F62" s="65">
        <v>44682</v>
      </c>
      <c r="G62" s="16">
        <f t="shared" si="7"/>
        <v>5.3243883608711947E-5</v>
      </c>
      <c r="H62" s="16">
        <f t="shared" si="8"/>
        <v>-5.1535520334490513E-3</v>
      </c>
      <c r="I62" s="16">
        <f t="shared" si="9"/>
        <v>5.014748160509603E-2</v>
      </c>
    </row>
    <row r="63" spans="1:9" x14ac:dyDescent="0.35">
      <c r="A63" s="63">
        <v>44713</v>
      </c>
      <c r="B63" s="64">
        <v>3785.38</v>
      </c>
      <c r="C63" s="16">
        <v>177.509995</v>
      </c>
      <c r="D63" s="16">
        <v>141.19000199999999</v>
      </c>
      <c r="F63" s="65">
        <v>44713</v>
      </c>
      <c r="G63" s="16">
        <f t="shared" si="7"/>
        <v>-8.391999322386641E-2</v>
      </c>
      <c r="H63" s="16">
        <f t="shared" si="8"/>
        <v>-4.8979695808887922E-3</v>
      </c>
      <c r="I63" s="16">
        <f t="shared" si="9"/>
        <v>2.9261843071942933E-2</v>
      </c>
    </row>
    <row r="64" spans="1:9" x14ac:dyDescent="0.35">
      <c r="A64" s="63">
        <v>44743</v>
      </c>
      <c r="B64" s="64">
        <v>3845.08</v>
      </c>
      <c r="C64" s="16">
        <v>178.300003</v>
      </c>
      <c r="D64" s="16">
        <v>138.08000200000001</v>
      </c>
      <c r="F64" s="65">
        <v>44743</v>
      </c>
      <c r="G64" s="16">
        <f t="shared" si="7"/>
        <v>1.577120394782025E-2</v>
      </c>
      <c r="H64" s="16">
        <f t="shared" si="8"/>
        <v>4.4504986888203122E-3</v>
      </c>
      <c r="I64" s="16">
        <f t="shared" si="9"/>
        <v>-2.2027055428471384E-2</v>
      </c>
    </row>
    <row r="65" spans="1:2" x14ac:dyDescent="0.35">
      <c r="A65" s="66"/>
      <c r="B65" s="66"/>
    </row>
    <row r="66" spans="1:2" x14ac:dyDescent="0.35">
      <c r="A66" s="66"/>
      <c r="B66" s="66"/>
    </row>
    <row r="67" spans="1:2" x14ac:dyDescent="0.35">
      <c r="A67" s="66"/>
      <c r="B67" s="66"/>
    </row>
    <row r="68" spans="1:2" x14ac:dyDescent="0.35">
      <c r="A68" s="66"/>
      <c r="B68" s="66"/>
    </row>
    <row r="69" spans="1:2" x14ac:dyDescent="0.35">
      <c r="A69" s="66"/>
      <c r="B69" s="66"/>
    </row>
    <row r="70" spans="1:2" x14ac:dyDescent="0.35">
      <c r="A70" s="66"/>
      <c r="B70" s="66"/>
    </row>
    <row r="71" spans="1:2" x14ac:dyDescent="0.35">
      <c r="A71" s="66"/>
      <c r="B71" s="66"/>
    </row>
    <row r="72" spans="1:2" x14ac:dyDescent="0.35">
      <c r="A72" s="66"/>
      <c r="B72" s="66"/>
    </row>
    <row r="73" spans="1:2" x14ac:dyDescent="0.35">
      <c r="A73" s="66"/>
      <c r="B73" s="66"/>
    </row>
    <row r="74" spans="1:2" x14ac:dyDescent="0.35">
      <c r="A74" s="66"/>
      <c r="B74" s="66"/>
    </row>
    <row r="75" spans="1:2" x14ac:dyDescent="0.35">
      <c r="A75" s="66"/>
      <c r="B75" s="66"/>
    </row>
    <row r="76" spans="1:2" x14ac:dyDescent="0.35">
      <c r="A76" s="66"/>
      <c r="B76" s="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zoomScale="90" zoomScaleNormal="90" workbookViewId="0">
      <pane ySplit="1" topLeftCell="A2" activePane="bottomLeft" state="frozen"/>
      <selection pane="bottomLeft" activeCell="F2" sqref="F2"/>
    </sheetView>
  </sheetViews>
  <sheetFormatPr defaultRowHeight="14.5" x14ac:dyDescent="0.35"/>
  <cols>
    <col min="1" max="1" width="10.7265625" style="11" bestFit="1" customWidth="1"/>
    <col min="2" max="2" width="19.453125" style="11" customWidth="1"/>
    <col min="3" max="3" width="19.453125" style="15" customWidth="1"/>
    <col min="4" max="4" width="19.453125" style="11" customWidth="1"/>
    <col min="6" max="6" width="27.7265625" customWidth="1"/>
    <col min="7" max="7" width="24.1796875" customWidth="1"/>
    <col min="8" max="8" width="14.1796875" style="12" customWidth="1"/>
    <col min="9" max="9" width="15" bestFit="1" customWidth="1"/>
    <col min="10" max="10" width="15.90625" bestFit="1" customWidth="1"/>
    <col min="2000" max="2000" width="2.453125" customWidth="1"/>
  </cols>
  <sheetData>
    <row r="1" spans="1:9" x14ac:dyDescent="0.35">
      <c r="A1" s="9" t="s">
        <v>0</v>
      </c>
      <c r="B1" s="10" t="s">
        <v>55</v>
      </c>
      <c r="C1" s="7" t="s">
        <v>67</v>
      </c>
      <c r="D1" s="10" t="s">
        <v>56</v>
      </c>
      <c r="G1" s="17" t="s">
        <v>1</v>
      </c>
      <c r="H1" s="17" t="s">
        <v>69</v>
      </c>
      <c r="I1" s="17" t="s">
        <v>2</v>
      </c>
    </row>
    <row r="2" spans="1:9" x14ac:dyDescent="0.35">
      <c r="A2" s="31">
        <v>42887</v>
      </c>
      <c r="B2" s="16">
        <v>3.8341380130083764E-2</v>
      </c>
      <c r="C2" s="15">
        <v>1.7707461227614983E-2</v>
      </c>
      <c r="D2" s="16">
        <v>4.81383199270241E-3</v>
      </c>
      <c r="F2" s="26" t="s">
        <v>3</v>
      </c>
      <c r="G2" s="18">
        <f>AVERAGE(B2:B51)</f>
        <v>9.4263603804975275E-3</v>
      </c>
      <c r="H2" s="18">
        <f>AVERAGE(C2:C51)</f>
        <v>5.1006922192108973E-3</v>
      </c>
      <c r="I2" s="18">
        <f>AVERAGE(D2:D51)</f>
        <v>1.315683747500509E-2</v>
      </c>
    </row>
    <row r="3" spans="1:9" x14ac:dyDescent="0.35">
      <c r="A3" s="31">
        <v>42917</v>
      </c>
      <c r="B3" s="16">
        <v>3.2505231436475647E-3</v>
      </c>
      <c r="C3" s="15">
        <v>-5.9546013802907721E-2</v>
      </c>
      <c r="D3" s="16">
        <v>1.9348768883515513E-2</v>
      </c>
      <c r="F3" s="26" t="s">
        <v>39</v>
      </c>
      <c r="G3" s="18">
        <f>_xlfn.STDEV.S(B2:B51)</f>
        <v>5.0363244126201849E-2</v>
      </c>
      <c r="H3" s="18">
        <f>_xlfn.STDEV.S(C2:C51)</f>
        <v>7.3960418435115013E-2</v>
      </c>
      <c r="I3" s="18">
        <f>_xlfn.STDEV.S(D2:D51)</f>
        <v>4.6770120624194035E-2</v>
      </c>
    </row>
    <row r="4" spans="1:9" x14ac:dyDescent="0.35">
      <c r="A4" s="31">
        <v>42948</v>
      </c>
      <c r="B4" s="16">
        <v>-2.6374115268629128E-3</v>
      </c>
      <c r="C4" s="15">
        <v>-1.133616115864541E-2</v>
      </c>
      <c r="D4" s="16">
        <v>5.4649232886690234E-4</v>
      </c>
      <c r="F4" s="26"/>
      <c r="G4" s="18"/>
      <c r="H4" s="18"/>
      <c r="I4" s="18"/>
    </row>
    <row r="5" spans="1:9" ht="15" thickBot="1" x14ac:dyDescent="0.4">
      <c r="A5" s="31">
        <v>42979</v>
      </c>
      <c r="B5" s="16">
        <v>-1.1580915672725635E-2</v>
      </c>
      <c r="C5" s="15">
        <v>2.5049698168423874E-2</v>
      </c>
      <c r="D5" s="16">
        <v>1.9302894827342074E-2</v>
      </c>
      <c r="F5" s="44" t="s">
        <v>4</v>
      </c>
      <c r="G5" s="16"/>
      <c r="H5" s="16"/>
      <c r="I5" s="16"/>
    </row>
    <row r="6" spans="1:9" x14ac:dyDescent="0.35">
      <c r="A6" s="31">
        <v>43009</v>
      </c>
      <c r="B6" s="16">
        <v>7.230211264796009E-2</v>
      </c>
      <c r="C6" s="15">
        <v>6.1896763644093807E-2</v>
      </c>
      <c r="D6" s="16">
        <v>2.218817477454595E-2</v>
      </c>
      <c r="F6" s="21"/>
      <c r="G6" s="21" t="s">
        <v>57</v>
      </c>
      <c r="H6" s="21" t="s">
        <v>70</v>
      </c>
      <c r="I6" s="21" t="s">
        <v>58</v>
      </c>
    </row>
    <row r="7" spans="1:9" x14ac:dyDescent="0.35">
      <c r="A7" s="31">
        <v>43040</v>
      </c>
      <c r="B7" s="16">
        <v>-5.7375324312565587E-4</v>
      </c>
      <c r="C7" s="15">
        <v>-5.8418960019677123E-4</v>
      </c>
      <c r="D7" s="16">
        <v>2.8082601368405406E-2</v>
      </c>
      <c r="F7" s="19" t="s">
        <v>57</v>
      </c>
      <c r="G7" s="19">
        <f>VARP('Stock Returns'!$B$2:$B$63)</f>
        <v>2.4659573760398177E-3</v>
      </c>
      <c r="H7" s="19"/>
      <c r="I7" s="19"/>
    </row>
    <row r="8" spans="1:9" s="12" customFormat="1" x14ac:dyDescent="0.35">
      <c r="A8" s="31">
        <v>43070</v>
      </c>
      <c r="B8" s="16">
        <v>8.9399248738688646E-3</v>
      </c>
      <c r="C8" s="15">
        <v>6.3874698709056911E-3</v>
      </c>
      <c r="D8" s="16">
        <v>9.8316198188535195E-3</v>
      </c>
      <c r="F8" s="19" t="s">
        <v>70</v>
      </c>
      <c r="G8" s="19">
        <f>_xlfn.COVARIANCE.P(B2:B63, C2:C63)</f>
        <v>1.9704757861778214E-3</v>
      </c>
      <c r="H8" s="19">
        <f>VARP('Stock Returns'!$C$2:$C$63)</f>
        <v>5.2509345849878477E-3</v>
      </c>
      <c r="I8" s="19"/>
    </row>
    <row r="9" spans="1:9" s="12" customFormat="1" ht="15" thickBot="1" x14ac:dyDescent="0.4">
      <c r="A9" s="31">
        <v>43101</v>
      </c>
      <c r="B9" s="16">
        <v>-1.0950321197612743E-2</v>
      </c>
      <c r="C9" s="15">
        <v>6.7005603716052659E-2</v>
      </c>
      <c r="D9" s="16">
        <v>5.6178724645703677E-2</v>
      </c>
      <c r="F9" s="20" t="s">
        <v>58</v>
      </c>
      <c r="G9" s="20">
        <f>_xlfn.COVARIANCE.P(B2:B63, D2:D63)</f>
        <v>1.429238586273332E-3</v>
      </c>
      <c r="H9" s="20">
        <f>_xlfn.COVARIANCE.P(D2:D63, C2:C63)</f>
        <v>2.1468876077914874E-3</v>
      </c>
      <c r="I9" s="20">
        <f>VARP('Stock Returns'!$D$2:$D$63)</f>
        <v>2.2751256041144466E-3</v>
      </c>
    </row>
    <row r="10" spans="1:9" x14ac:dyDescent="0.35">
      <c r="A10" s="31">
        <v>43132</v>
      </c>
      <c r="B10" s="16">
        <v>-6.0134552132884884E-2</v>
      </c>
      <c r="C10" s="15">
        <v>-4.8075581792599499E-2</v>
      </c>
      <c r="D10" s="16">
        <v>-3.8947379604151844E-2</v>
      </c>
      <c r="F10" s="27"/>
      <c r="G10" s="14"/>
      <c r="H10" s="14"/>
      <c r="I10" s="14"/>
    </row>
    <row r="11" spans="1:9" x14ac:dyDescent="0.35">
      <c r="A11" s="31">
        <v>43160</v>
      </c>
      <c r="B11" s="16">
        <v>-7.0019580220076361E-3</v>
      </c>
      <c r="C11" s="15">
        <v>-5.7075328307452265E-3</v>
      </c>
      <c r="D11" s="16">
        <v>-2.6884513768364281E-2</v>
      </c>
      <c r="F11" s="26" t="s">
        <v>5</v>
      </c>
      <c r="G11" s="18">
        <f>_xlfn.SKEW.P(B2:B51)</f>
        <v>-0.15679809999267846</v>
      </c>
      <c r="H11" s="18">
        <f>_xlfn.SKEW.P(C2:C51)</f>
        <v>-0.43578804637395913</v>
      </c>
      <c r="I11" s="18">
        <f>_xlfn.SKEW.P(D2:D51)</f>
        <v>-0.5939794567140444</v>
      </c>
    </row>
    <row r="12" spans="1:9" x14ac:dyDescent="0.35">
      <c r="A12" s="31">
        <v>43191</v>
      </c>
      <c r="B12" s="16">
        <v>-1.2953546894562238E-2</v>
      </c>
      <c r="C12" s="15">
        <v>-5.5204246656696279E-2</v>
      </c>
      <c r="D12" s="16">
        <v>2.718801001185326E-3</v>
      </c>
      <c r="F12" s="26" t="s">
        <v>6</v>
      </c>
      <c r="G12" s="18">
        <f>KURT(B2:B51)</f>
        <v>0.58696653354313622</v>
      </c>
      <c r="H12" s="18">
        <f>KURT(C2:C51)</f>
        <v>1.5790684627350391</v>
      </c>
      <c r="I12" s="18">
        <f>KURT(D2:D51)</f>
        <v>1.534552485944352</v>
      </c>
    </row>
    <row r="13" spans="1:9" x14ac:dyDescent="0.35">
      <c r="A13" s="31">
        <v>43221</v>
      </c>
      <c r="B13" s="16">
        <v>-5.431262342072745E-2</v>
      </c>
      <c r="C13" s="15">
        <v>-2.5179471925903037E-2</v>
      </c>
      <c r="D13" s="16">
        <v>2.1608353316591378E-2</v>
      </c>
      <c r="H13" s="13"/>
      <c r="I13" s="2"/>
    </row>
    <row r="14" spans="1:9" x14ac:dyDescent="0.35">
      <c r="A14" s="31">
        <v>43252</v>
      </c>
      <c r="B14" s="16">
        <v>2.1902032785036458E-2</v>
      </c>
      <c r="C14" s="15">
        <v>-4.188777955221956E-4</v>
      </c>
      <c r="D14" s="16">
        <v>4.842400204046143E-3</v>
      </c>
      <c r="F14" s="35" t="s">
        <v>41</v>
      </c>
      <c r="G14" s="2">
        <f>G3/G2</f>
        <v>5.3428091111814311</v>
      </c>
      <c r="H14" s="13">
        <f>H3/H2</f>
        <v>14.500074746042422</v>
      </c>
      <c r="I14" s="2">
        <f>I3/I2</f>
        <v>3.5548148035609857</v>
      </c>
    </row>
    <row r="15" spans="1:9" x14ac:dyDescent="0.35">
      <c r="A15" s="31">
        <v>43282</v>
      </c>
      <c r="B15" s="16">
        <v>9.2137914367884155E-2</v>
      </c>
      <c r="C15" s="15">
        <v>3.7437136660698429E-2</v>
      </c>
      <c r="D15" s="16">
        <v>3.6021586465418642E-2</v>
      </c>
      <c r="F15" s="26" t="s">
        <v>38</v>
      </c>
      <c r="G15" s="24">
        <f>'Beta and Cost of Equity'!J22</f>
        <v>2.5000000000000001E-3</v>
      </c>
      <c r="H15" s="13"/>
      <c r="I15" s="13"/>
    </row>
    <row r="16" spans="1:9" x14ac:dyDescent="0.35">
      <c r="A16" s="31">
        <v>43313</v>
      </c>
      <c r="B16" s="16">
        <v>1.6374823567115955E-2</v>
      </c>
      <c r="C16" s="15">
        <v>1.0695079477959861E-2</v>
      </c>
      <c r="D16" s="16">
        <v>3.0263218631603996E-2</v>
      </c>
    </row>
    <row r="17" spans="1:9" x14ac:dyDescent="0.35">
      <c r="A17" s="31">
        <v>43344</v>
      </c>
      <c r="B17" s="16">
        <v>3.2673446514334299E-2</v>
      </c>
      <c r="C17" s="15">
        <v>4.3443697744252857E-2</v>
      </c>
      <c r="D17" s="16">
        <v>4.2943009181394707E-3</v>
      </c>
      <c r="F17" s="33" t="s">
        <v>59</v>
      </c>
      <c r="G17" s="32"/>
      <c r="H17" s="32"/>
      <c r="I17" s="32"/>
    </row>
    <row r="18" spans="1:9" x14ac:dyDescent="0.35">
      <c r="A18" s="31">
        <v>43374</v>
      </c>
      <c r="B18" s="16">
        <v>1.3172191349263585E-2</v>
      </c>
      <c r="C18" s="15">
        <v>-0.23662452792967195</v>
      </c>
      <c r="D18" s="16">
        <v>-6.9403358979814631E-2</v>
      </c>
      <c r="F18" s="26" t="s">
        <v>40</v>
      </c>
      <c r="G18" s="2">
        <f>(G2-$G$15)/G3</f>
        <v>0.13752808224865795</v>
      </c>
      <c r="H18" s="13">
        <f>(H2-$G$15)/H3</f>
        <v>3.5163297804926122E-2</v>
      </c>
      <c r="I18" s="2">
        <f>(I2-$G$15)/I3</f>
        <v>0.22785567650412134</v>
      </c>
    </row>
    <row r="19" spans="1:9" x14ac:dyDescent="0.35">
      <c r="A19" s="31">
        <v>43405</v>
      </c>
      <c r="B19" s="16">
        <v>4.936060537746504E-2</v>
      </c>
      <c r="C19" s="15">
        <v>7.6583187088143698E-2</v>
      </c>
      <c r="D19" s="16">
        <v>1.7859381799140144E-2</v>
      </c>
    </row>
    <row r="20" spans="1:9" x14ac:dyDescent="0.35">
      <c r="A20" s="31">
        <v>43435</v>
      </c>
      <c r="B20" s="16">
        <v>-0.11591688496990979</v>
      </c>
      <c r="C20" s="15">
        <v>-7.3648248104292671E-2</v>
      </c>
      <c r="D20" s="16">
        <v>-9.1776955767217297E-2</v>
      </c>
      <c r="F20" s="34" t="s">
        <v>60</v>
      </c>
      <c r="G20" s="36">
        <f>(G2-$G$15)/G21</f>
        <v>1.1015691607199439E-2</v>
      </c>
      <c r="H20" s="36">
        <f>(H2-$G$15)/H21</f>
        <v>2.7592581082229793E-3</v>
      </c>
      <c r="I20" s="36">
        <f>(I2-$G$15)/I21</f>
        <v>1.065683747500509E-2</v>
      </c>
    </row>
    <row r="21" spans="1:9" x14ac:dyDescent="0.35">
      <c r="A21" s="31">
        <v>43466</v>
      </c>
      <c r="B21" s="16">
        <v>3.1228377134016435E-2</v>
      </c>
      <c r="C21" s="15">
        <v>0.1825460910509607</v>
      </c>
      <c r="D21" s="16">
        <v>7.8684404731036967E-2</v>
      </c>
      <c r="F21" t="s">
        <v>62</v>
      </c>
      <c r="G21" s="37">
        <f>'Beta and Cost of Equity'!G18</f>
        <v>0.62877217586326761</v>
      </c>
      <c r="H21" s="37">
        <f>'Beta and Cost of Equity'!Q18</f>
        <v>0.94253314376805375</v>
      </c>
      <c r="I21">
        <v>1</v>
      </c>
    </row>
    <row r="22" spans="1:9" x14ac:dyDescent="0.35">
      <c r="A22" s="31">
        <v>43497</v>
      </c>
      <c r="B22" s="16">
        <v>2.6750679758526057E-2</v>
      </c>
      <c r="C22" s="15">
        <v>2.7600121003747393E-2</v>
      </c>
      <c r="D22" s="16">
        <v>2.9728930143115964E-2</v>
      </c>
      <c r="F22" s="22"/>
      <c r="G22" s="22"/>
      <c r="H22" s="22"/>
      <c r="I22" s="22"/>
    </row>
    <row r="23" spans="1:9" x14ac:dyDescent="0.35">
      <c r="A23" s="31">
        <v>43525</v>
      </c>
      <c r="B23" s="16">
        <v>2.9838359378453406E-2</v>
      </c>
      <c r="C23" s="15">
        <v>3.3403016676705248E-2</v>
      </c>
      <c r="D23" s="16">
        <v>1.7924287751078408E-2</v>
      </c>
      <c r="F23" s="17" t="s">
        <v>61</v>
      </c>
      <c r="G23" s="38">
        <f>(G2-$G$15)-G21*($I$2-$G$15)</f>
        <v>2.2563749351736575E-4</v>
      </c>
      <c r="H23" s="38">
        <f>(H2-$G$15)-H21*($I$2-$G$15)</f>
        <v>-7.4437303087308577E-3</v>
      </c>
      <c r="I23" s="38">
        <f>(I2-$G$15)-I21*($I$2-$G$15)</f>
        <v>0</v>
      </c>
    </row>
    <row r="24" spans="1:9" x14ac:dyDescent="0.35">
      <c r="A24" s="31">
        <v>43556</v>
      </c>
      <c r="B24" s="16">
        <v>1.0086597823145799E-2</v>
      </c>
      <c r="C24" s="15">
        <v>-5.8822521759359691E-3</v>
      </c>
      <c r="D24" s="16">
        <v>3.9313434942139368E-2</v>
      </c>
    </row>
    <row r="25" spans="1:9" x14ac:dyDescent="0.35">
      <c r="A25" s="31">
        <v>43586</v>
      </c>
      <c r="B25" s="16">
        <v>-7.11755082472324E-2</v>
      </c>
      <c r="C25" s="15">
        <v>-9.4674487666840959E-2</v>
      </c>
      <c r="D25" s="16">
        <v>-6.5777726481161508E-2</v>
      </c>
    </row>
    <row r="26" spans="1:9" x14ac:dyDescent="0.35">
      <c r="A26" s="31">
        <v>43617</v>
      </c>
      <c r="B26" s="16">
        <v>6.9256634590166108E-2</v>
      </c>
      <c r="C26" s="15">
        <v>9.8811206962445067E-2</v>
      </c>
      <c r="D26" s="16">
        <v>6.8930183208215035E-2</v>
      </c>
    </row>
    <row r="27" spans="1:9" x14ac:dyDescent="0.35">
      <c r="A27" s="31">
        <v>43647</v>
      </c>
      <c r="B27" s="16">
        <v>-6.5048785099045742E-2</v>
      </c>
      <c r="C27" s="15">
        <v>7.4981828062680042E-2</v>
      </c>
      <c r="D27" s="16">
        <v>1.312819536603934E-2</v>
      </c>
    </row>
    <row r="28" spans="1:9" x14ac:dyDescent="0.35">
      <c r="A28" s="31">
        <v>43678</v>
      </c>
      <c r="B28" s="16">
        <v>-1.4283579312045628E-2</v>
      </c>
      <c r="C28" s="15">
        <v>-8.5739341932929369E-2</v>
      </c>
      <c r="D28" s="16">
        <v>-1.8091652742267789E-2</v>
      </c>
    </row>
    <row r="29" spans="1:9" x14ac:dyDescent="0.35">
      <c r="A29" s="31">
        <v>43709</v>
      </c>
      <c r="B29" s="16">
        <v>1.5499214380179965E-2</v>
      </c>
      <c r="C29" s="15">
        <v>8.5615318291403064E-2</v>
      </c>
      <c r="D29" s="16">
        <v>1.7181167690656883E-2</v>
      </c>
    </row>
    <row r="30" spans="1:9" x14ac:dyDescent="0.35">
      <c r="A30" s="31">
        <v>43739</v>
      </c>
      <c r="B30" s="16">
        <v>2.0559481141799552E-2</v>
      </c>
      <c r="C30" s="15">
        <v>-8.0387849698227112E-2</v>
      </c>
      <c r="D30" s="16">
        <v>2.0431747482144953E-2</v>
      </c>
    </row>
    <row r="31" spans="1:9" x14ac:dyDescent="0.35">
      <c r="A31" s="31">
        <v>43770</v>
      </c>
      <c r="B31" s="16">
        <v>4.1275542333849856E-2</v>
      </c>
      <c r="C31" s="15">
        <v>5.3839136258253496E-3</v>
      </c>
      <c r="D31" s="16">
        <v>3.4047064090915104E-2</v>
      </c>
    </row>
    <row r="32" spans="1:9" x14ac:dyDescent="0.35">
      <c r="A32" s="31">
        <v>43800</v>
      </c>
      <c r="B32" s="16">
        <v>6.8300257013642451E-2</v>
      </c>
      <c r="C32" s="15">
        <v>8.7255065130192218E-3</v>
      </c>
      <c r="D32" s="16">
        <v>2.8589803182446302E-2</v>
      </c>
    </row>
    <row r="33" spans="1:4" x14ac:dyDescent="0.35">
      <c r="A33" s="31">
        <v>43831</v>
      </c>
      <c r="B33" s="16">
        <v>2.0566346664767487E-2</v>
      </c>
      <c r="C33" s="15">
        <v>7.2291835945574298E-2</v>
      </c>
      <c r="D33" s="16">
        <v>-1.6280898111292685E-3</v>
      </c>
    </row>
    <row r="34" spans="1:4" x14ac:dyDescent="0.35">
      <c r="A34" s="31">
        <v>43862</v>
      </c>
      <c r="B34" s="16">
        <v>-9.6661588490520645E-2</v>
      </c>
      <c r="C34" s="15">
        <v>-9.4482661187145142E-2</v>
      </c>
      <c r="D34" s="16">
        <v>-8.4110469009648109E-2</v>
      </c>
    </row>
    <row r="35" spans="1:4" x14ac:dyDescent="0.35">
      <c r="A35" s="31">
        <v>43891</v>
      </c>
      <c r="B35" s="16">
        <v>-1.8692827872957632E-2</v>
      </c>
      <c r="C35" s="15">
        <v>-0.1387755399666126</v>
      </c>
      <c r="D35" s="16">
        <v>-0.12511932083595659</v>
      </c>
    </row>
    <row r="36" spans="1:4" x14ac:dyDescent="0.35">
      <c r="A36" s="31">
        <v>43922</v>
      </c>
      <c r="B36" s="16">
        <v>0.14420780450371851</v>
      </c>
      <c r="C36" s="15">
        <v>0.13188487180268479</v>
      </c>
      <c r="D36" s="16">
        <v>0.12684410293315368</v>
      </c>
    </row>
    <row r="37" spans="1:4" x14ac:dyDescent="0.35">
      <c r="A37" s="31">
        <v>43952</v>
      </c>
      <c r="B37" s="16">
        <v>-8.5975160024711755E-3</v>
      </c>
      <c r="C37" s="15">
        <v>-5.2564036579866606E-3</v>
      </c>
      <c r="D37" s="16">
        <v>4.5281775012618368E-2</v>
      </c>
    </row>
    <row r="38" spans="1:4" x14ac:dyDescent="0.35">
      <c r="A38" s="31">
        <v>43983</v>
      </c>
      <c r="B38" s="16">
        <v>-4.8034665289920057E-2</v>
      </c>
      <c r="C38" s="15">
        <v>-2.0098752236437773E-2</v>
      </c>
      <c r="D38" s="16">
        <v>1.838840328350267E-2</v>
      </c>
    </row>
    <row r="39" spans="1:4" x14ac:dyDescent="0.35">
      <c r="A39" s="31">
        <v>44013</v>
      </c>
      <c r="B39" s="16">
        <v>3.6478713047050401E-2</v>
      </c>
      <c r="C39" s="15">
        <v>1.7968121839851605E-2</v>
      </c>
      <c r="D39" s="16">
        <v>5.5101296975444213E-2</v>
      </c>
    </row>
    <row r="40" spans="1:4" x14ac:dyDescent="0.35">
      <c r="A40" s="31">
        <v>44044</v>
      </c>
      <c r="B40" s="16">
        <v>5.2483487165360269E-2</v>
      </c>
      <c r="C40" s="15">
        <v>3.0095494517625972E-3</v>
      </c>
      <c r="D40" s="16">
        <v>7.0064687324219249E-2</v>
      </c>
    </row>
    <row r="41" spans="1:4" x14ac:dyDescent="0.35">
      <c r="A41" s="31">
        <v>44075</v>
      </c>
      <c r="B41" s="16">
        <v>-2.3069446105701788E-2</v>
      </c>
      <c r="C41" s="15">
        <v>-3.8050641901238145E-4</v>
      </c>
      <c r="D41" s="16">
        <v>-3.9227954095494386E-2</v>
      </c>
    </row>
    <row r="42" spans="1:4" x14ac:dyDescent="0.35">
      <c r="A42" s="31">
        <v>44105</v>
      </c>
      <c r="B42" s="16">
        <v>-7.9057048978641242E-2</v>
      </c>
      <c r="C42" s="15">
        <v>-8.2271687651948797E-2</v>
      </c>
      <c r="D42" s="16">
        <v>-2.766577460600653E-2</v>
      </c>
    </row>
    <row r="43" spans="1:4" x14ac:dyDescent="0.35">
      <c r="A43" s="31">
        <v>44136</v>
      </c>
      <c r="B43" s="16">
        <v>5.5211208240373108E-2</v>
      </c>
      <c r="C43" s="15">
        <v>0.10621515984316554</v>
      </c>
      <c r="D43" s="16">
        <v>0.10754565805086302</v>
      </c>
    </row>
    <row r="44" spans="1:4" x14ac:dyDescent="0.35">
      <c r="A44" s="31">
        <v>44166</v>
      </c>
      <c r="B44" s="16">
        <v>9.5338626598264212E-2</v>
      </c>
      <c r="C44" s="15">
        <v>3.3883797103554554E-2</v>
      </c>
      <c r="D44" s="16">
        <v>3.7121406659432372E-2</v>
      </c>
    </row>
    <row r="45" spans="1:4" x14ac:dyDescent="0.35">
      <c r="A45" s="31">
        <v>44197</v>
      </c>
      <c r="B45" s="16">
        <v>3.653585034539375E-2</v>
      </c>
      <c r="C45" s="15">
        <v>-5.3781315489807677E-2</v>
      </c>
      <c r="D45" s="16">
        <v>-1.1136640158463601E-2</v>
      </c>
    </row>
    <row r="46" spans="1:4" x14ac:dyDescent="0.35">
      <c r="A46" s="31">
        <v>44228</v>
      </c>
      <c r="B46" s="16">
        <v>-2.8627561860665639E-2</v>
      </c>
      <c r="C46" s="15">
        <v>-1.5112401203289936E-3</v>
      </c>
      <c r="D46" s="16">
        <v>2.6091474971999741E-2</v>
      </c>
    </row>
    <row r="47" spans="1:4" x14ac:dyDescent="0.35">
      <c r="A47" s="31">
        <v>44256</v>
      </c>
      <c r="B47" s="16">
        <v>4.3637925305756602E-2</v>
      </c>
      <c r="C47" s="15">
        <v>0.13546385055815696</v>
      </c>
      <c r="D47" s="16">
        <v>4.2438634008107733E-2</v>
      </c>
    </row>
    <row r="48" spans="1:4" x14ac:dyDescent="0.35">
      <c r="A48" s="31">
        <v>44287</v>
      </c>
      <c r="B48" s="16">
        <v>-9.8571275610284202E-3</v>
      </c>
      <c r="C48" s="15">
        <v>6.4685780612864702E-2</v>
      </c>
      <c r="D48" s="16">
        <v>5.2425312555847307E-2</v>
      </c>
    </row>
    <row r="49" spans="1:4" x14ac:dyDescent="0.35">
      <c r="A49" s="31">
        <v>44317</v>
      </c>
      <c r="B49" s="16">
        <v>4.0066382069891784E-2</v>
      </c>
      <c r="C49" s="15">
        <v>1.3109674132417608E-2</v>
      </c>
      <c r="D49" s="16">
        <v>5.4865025818131288E-3</v>
      </c>
    </row>
    <row r="50" spans="1:4" x14ac:dyDescent="0.35">
      <c r="A50" s="31">
        <v>44348</v>
      </c>
      <c r="B50" s="16">
        <v>-2.0574228228637415E-2</v>
      </c>
      <c r="C50" s="15">
        <v>3.1222072773775655E-2</v>
      </c>
      <c r="D50" s="16">
        <v>2.221397632316955E-2</v>
      </c>
    </row>
    <row r="51" spans="1:4" x14ac:dyDescent="0.35">
      <c r="A51" s="31">
        <v>44378</v>
      </c>
      <c r="B51" s="16">
        <v>4.5283426903147531E-2</v>
      </c>
      <c r="C51" s="15">
        <v>-3.8406313087801215E-2</v>
      </c>
      <c r="D51" s="16">
        <v>2.2748109365910464E-2</v>
      </c>
    </row>
    <row r="52" spans="1:4" x14ac:dyDescent="0.35">
      <c r="A52" s="31">
        <v>44409</v>
      </c>
      <c r="B52" s="16">
        <v>5.4007479841574318E-3</v>
      </c>
      <c r="C52" s="15">
        <v>-4.3985375345814877E-3</v>
      </c>
      <c r="D52" s="16">
        <v>2.8990321391681052E-2</v>
      </c>
    </row>
    <row r="53" spans="1:4" x14ac:dyDescent="0.35">
      <c r="A53" s="31">
        <v>44440</v>
      </c>
      <c r="B53" s="11">
        <v>-7.9598838596518368E-2</v>
      </c>
      <c r="C53" s="15">
        <v>-7.7724405430957585E-2</v>
      </c>
      <c r="D53" s="11">
        <v>-4.7569140421166278E-2</v>
      </c>
    </row>
    <row r="54" spans="1:4" x14ac:dyDescent="0.35">
      <c r="A54" s="31">
        <v>44470</v>
      </c>
      <c r="B54" s="11">
        <v>8.5448915392363003E-3</v>
      </c>
      <c r="C54" s="15">
        <v>-9.9546499994091889E-2</v>
      </c>
      <c r="D54" s="11">
        <v>6.9143873301234615E-2</v>
      </c>
    </row>
    <row r="55" spans="1:4" x14ac:dyDescent="0.35">
      <c r="A55" s="31">
        <v>44501</v>
      </c>
      <c r="B55" s="11">
        <v>-4.266952673313517E-2</v>
      </c>
      <c r="C55" s="15">
        <v>-2.0890580689138367E-2</v>
      </c>
      <c r="D55" s="11">
        <v>-8.3337314184714628E-3</v>
      </c>
    </row>
    <row r="56" spans="1:4" x14ac:dyDescent="0.35">
      <c r="A56" s="31">
        <v>44531</v>
      </c>
      <c r="B56" s="11">
        <v>0.10428106473371485</v>
      </c>
      <c r="C56" s="15">
        <v>0.15664905618739305</v>
      </c>
      <c r="D56" s="11">
        <v>4.3612874972629799E-2</v>
      </c>
    </row>
    <row r="57" spans="1:4" x14ac:dyDescent="0.35">
      <c r="A57" s="31">
        <v>44562</v>
      </c>
      <c r="B57" s="11">
        <v>7.1315201225670673E-3</v>
      </c>
      <c r="C57" s="15">
        <v>-6.733274017782792E-4</v>
      </c>
      <c r="D57" s="11">
        <v>-5.2585089106999758E-2</v>
      </c>
    </row>
    <row r="58" spans="1:4" x14ac:dyDescent="0.35">
      <c r="A58" s="31">
        <v>44593</v>
      </c>
      <c r="B58" s="11">
        <v>-4.4808155446670522E-2</v>
      </c>
      <c r="C58" s="15">
        <v>-8.2803093086130347E-2</v>
      </c>
      <c r="D58" s="11">
        <v>-3.136052086678269E-2</v>
      </c>
    </row>
    <row r="59" spans="1:4" x14ac:dyDescent="0.35">
      <c r="A59" s="31">
        <v>44621</v>
      </c>
      <c r="B59" s="11">
        <v>8.3840740241499734E-2</v>
      </c>
      <c r="C59" s="15">
        <v>7.408498039532152E-2</v>
      </c>
      <c r="D59" s="11">
        <v>3.5773238773279988E-2</v>
      </c>
    </row>
    <row r="60" spans="1:4" x14ac:dyDescent="0.35">
      <c r="A60" s="31">
        <v>44652</v>
      </c>
      <c r="B60" s="11">
        <v>1.8224929511570176E-2</v>
      </c>
      <c r="C60" s="15">
        <v>1.6843605935886654E-2</v>
      </c>
      <c r="D60" s="11">
        <v>-8.7956719149039395E-2</v>
      </c>
    </row>
    <row r="61" spans="1:4" x14ac:dyDescent="0.35">
      <c r="A61" s="31">
        <v>44682</v>
      </c>
      <c r="B61" s="11">
        <v>-5.1535520334490513E-3</v>
      </c>
      <c r="C61" s="15">
        <v>5.014748160509603E-2</v>
      </c>
      <c r="D61" s="11">
        <v>5.3243883608711947E-5</v>
      </c>
    </row>
    <row r="62" spans="1:4" x14ac:dyDescent="0.35">
      <c r="A62" s="31">
        <v>44713</v>
      </c>
      <c r="B62" s="11">
        <v>-4.8979695808887922E-3</v>
      </c>
      <c r="C62" s="15">
        <v>2.9261843071942933E-2</v>
      </c>
      <c r="D62" s="11">
        <v>-8.391999322386641E-2</v>
      </c>
    </row>
    <row r="63" spans="1:4" x14ac:dyDescent="0.35">
      <c r="A63" s="31">
        <v>44743</v>
      </c>
      <c r="B63" s="11">
        <v>4.4504986888203122E-3</v>
      </c>
      <c r="C63" s="15">
        <v>-2.2027055428471384E-2</v>
      </c>
      <c r="D63" s="11">
        <v>1.577120394782025E-2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4"/>
  <sheetViews>
    <sheetView zoomScale="80" zoomScaleNormal="8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1.1796875" style="1" bestFit="1" customWidth="1"/>
    <col min="2" max="2" width="20.6328125" style="11" customWidth="1"/>
    <col min="3" max="3" width="20.6328125" style="15" customWidth="1"/>
    <col min="4" max="4" width="20.6328125" customWidth="1"/>
    <col min="6" max="6" width="27.90625" bestFit="1" customWidth="1"/>
    <col min="7" max="7" width="15.36328125" customWidth="1"/>
    <col min="8" max="8" width="13.6328125" bestFit="1" customWidth="1"/>
    <col min="9" max="9" width="10.36328125" bestFit="1" customWidth="1"/>
    <col min="10" max="10" width="11.90625" bestFit="1" customWidth="1"/>
    <col min="11" max="11" width="12.453125" bestFit="1" customWidth="1"/>
    <col min="16" max="16" width="27.90625" bestFit="1" customWidth="1"/>
    <col min="17" max="17" width="12.453125" bestFit="1" customWidth="1"/>
    <col min="18" max="18" width="13.54296875" bestFit="1" customWidth="1"/>
    <col min="20" max="20" width="12.81640625" customWidth="1"/>
    <col min="2000" max="2000" width="2.453125" customWidth="1"/>
  </cols>
  <sheetData>
    <row r="1" spans="1:24" x14ac:dyDescent="0.35">
      <c r="A1" s="8" t="s">
        <v>0</v>
      </c>
      <c r="B1" s="10" t="s">
        <v>55</v>
      </c>
      <c r="C1" s="7" t="s">
        <v>67</v>
      </c>
      <c r="D1" s="10" t="s">
        <v>56</v>
      </c>
      <c r="F1" s="23" t="s">
        <v>50</v>
      </c>
      <c r="P1" s="23" t="s">
        <v>68</v>
      </c>
    </row>
    <row r="2" spans="1:24" ht="15" thickBot="1" x14ac:dyDescent="0.4">
      <c r="A2" s="31">
        <v>42856</v>
      </c>
      <c r="B2" s="16">
        <v>3.8713794255468621E-2</v>
      </c>
      <c r="C2" s="15">
        <v>-4.7788237970077897E-2</v>
      </c>
      <c r="D2" s="16">
        <v>1.1576210049492646E-2</v>
      </c>
    </row>
    <row r="3" spans="1:24" x14ac:dyDescent="0.35">
      <c r="A3" s="31">
        <v>42887</v>
      </c>
      <c r="B3" s="16">
        <v>3.8341380130083764E-2</v>
      </c>
      <c r="C3" s="15">
        <v>1.7707461227614983E-2</v>
      </c>
      <c r="D3" s="16">
        <v>4.81383199270241E-3</v>
      </c>
      <c r="F3" s="5" t="s">
        <v>14</v>
      </c>
      <c r="G3" s="5"/>
      <c r="P3" s="5" t="s">
        <v>14</v>
      </c>
      <c r="Q3" s="5"/>
    </row>
    <row r="4" spans="1:24" x14ac:dyDescent="0.35">
      <c r="A4" s="31">
        <v>42917</v>
      </c>
      <c r="B4" s="16">
        <v>3.2505231436475647E-3</v>
      </c>
      <c r="C4" s="15">
        <v>-5.9546013802907721E-2</v>
      </c>
      <c r="D4" s="16">
        <v>1.9348768883515513E-2</v>
      </c>
      <c r="F4" s="19" t="s">
        <v>15</v>
      </c>
      <c r="G4" s="19">
        <v>0.60220207428609096</v>
      </c>
      <c r="P4" s="19" t="s">
        <v>15</v>
      </c>
      <c r="Q4" s="19">
        <v>0.6178908662094883</v>
      </c>
    </row>
    <row r="5" spans="1:24" x14ac:dyDescent="0.35">
      <c r="A5" s="31">
        <v>42948</v>
      </c>
      <c r="B5" s="16">
        <v>-2.6374115268629128E-3</v>
      </c>
      <c r="C5" s="15">
        <v>-1.133616115864541E-2</v>
      </c>
      <c r="D5" s="16">
        <v>5.4649232886690234E-4</v>
      </c>
      <c r="F5" s="19" t="s">
        <v>16</v>
      </c>
      <c r="G5" s="19">
        <v>0.3626473382744706</v>
      </c>
      <c r="P5" s="19" t="s">
        <v>16</v>
      </c>
      <c r="Q5" s="19">
        <v>0.38178912254511171</v>
      </c>
    </row>
    <row r="6" spans="1:24" x14ac:dyDescent="0.35">
      <c r="A6" s="31">
        <v>42979</v>
      </c>
      <c r="B6" s="16">
        <v>-1.1580915672725635E-2</v>
      </c>
      <c r="C6" s="15">
        <v>2.5049698168423874E-2</v>
      </c>
      <c r="D6" s="16">
        <v>1.9302894827342074E-2</v>
      </c>
      <c r="F6" s="19" t="s">
        <v>17</v>
      </c>
      <c r="G6" s="19">
        <v>0.35219893398388813</v>
      </c>
      <c r="P6" s="19" t="s">
        <v>17</v>
      </c>
      <c r="Q6" s="19">
        <v>0.37165451799667093</v>
      </c>
    </row>
    <row r="7" spans="1:24" x14ac:dyDescent="0.35">
      <c r="A7" s="31">
        <v>43009</v>
      </c>
      <c r="B7" s="16">
        <v>7.230211264796009E-2</v>
      </c>
      <c r="C7" s="15">
        <v>6.1896763644093807E-2</v>
      </c>
      <c r="D7" s="16">
        <v>2.218817477454595E-2</v>
      </c>
      <c r="F7" s="19" t="s">
        <v>18</v>
      </c>
      <c r="G7" s="19">
        <v>4.0085482010325399E-2</v>
      </c>
      <c r="P7" s="19" t="s">
        <v>18</v>
      </c>
      <c r="Q7" s="19">
        <v>5.767655559244475E-2</v>
      </c>
    </row>
    <row r="8" spans="1:24" ht="15" thickBot="1" x14ac:dyDescent="0.4">
      <c r="A8" s="31">
        <v>43040</v>
      </c>
      <c r="B8" s="16">
        <v>-5.7375324312565587E-4</v>
      </c>
      <c r="C8" s="15">
        <v>-5.8418960019677123E-4</v>
      </c>
      <c r="D8" s="16">
        <v>2.8082601368405406E-2</v>
      </c>
      <c r="F8" s="20" t="s">
        <v>19</v>
      </c>
      <c r="G8" s="20">
        <v>63</v>
      </c>
      <c r="P8" s="20" t="s">
        <v>19</v>
      </c>
      <c r="Q8" s="20">
        <v>63</v>
      </c>
    </row>
    <row r="9" spans="1:24" x14ac:dyDescent="0.35">
      <c r="A9" s="31">
        <v>43070</v>
      </c>
      <c r="B9" s="16">
        <v>8.9399248738688646E-3</v>
      </c>
      <c r="C9" s="15">
        <v>6.3874698709056911E-3</v>
      </c>
      <c r="D9" s="16">
        <v>9.8316198188535195E-3</v>
      </c>
    </row>
    <row r="10" spans="1:24" ht="15" thickBot="1" x14ac:dyDescent="0.4">
      <c r="A10" s="31">
        <v>43101</v>
      </c>
      <c r="B10" s="16">
        <v>-1.0950321197612743E-2</v>
      </c>
      <c r="C10" s="15">
        <v>6.7005603716052659E-2</v>
      </c>
      <c r="D10" s="16">
        <v>5.6178724645703677E-2</v>
      </c>
      <c r="F10" s="11" t="s">
        <v>47</v>
      </c>
      <c r="G10" s="11"/>
      <c r="H10" s="11"/>
      <c r="I10" s="11"/>
      <c r="J10" s="11"/>
      <c r="K10" s="11"/>
      <c r="L10" s="11"/>
      <c r="M10" s="11"/>
      <c r="N10" s="11"/>
      <c r="O10" s="11"/>
      <c r="P10" s="11" t="s">
        <v>48</v>
      </c>
      <c r="Q10" s="11"/>
      <c r="R10" s="11"/>
    </row>
    <row r="11" spans="1:24" x14ac:dyDescent="0.35">
      <c r="A11" s="31">
        <v>43132</v>
      </c>
      <c r="B11" s="16">
        <v>-6.0134552132884884E-2</v>
      </c>
      <c r="C11" s="15">
        <v>-4.8075581792599499E-2</v>
      </c>
      <c r="D11" s="16">
        <v>-3.8947379604151844E-2</v>
      </c>
      <c r="F11" s="21"/>
      <c r="G11" s="21" t="s">
        <v>20</v>
      </c>
      <c r="H11" s="21" t="s">
        <v>21</v>
      </c>
      <c r="I11" s="21" t="s">
        <v>22</v>
      </c>
      <c r="J11" s="21" t="s">
        <v>23</v>
      </c>
      <c r="K11" s="21" t="s">
        <v>24</v>
      </c>
      <c r="L11" s="11"/>
      <c r="M11" s="11"/>
      <c r="N11" s="11"/>
      <c r="O11" s="11"/>
      <c r="P11" s="21"/>
      <c r="Q11" s="21" t="s">
        <v>20</v>
      </c>
      <c r="R11" s="21" t="s">
        <v>21</v>
      </c>
      <c r="S11" s="21" t="s">
        <v>22</v>
      </c>
      <c r="T11" s="21" t="s">
        <v>23</v>
      </c>
      <c r="U11" s="21" t="s">
        <v>24</v>
      </c>
    </row>
    <row r="12" spans="1:24" x14ac:dyDescent="0.35">
      <c r="A12" s="31">
        <v>43160</v>
      </c>
      <c r="B12" s="16">
        <v>-7.0019580220076361E-3</v>
      </c>
      <c r="C12" s="15">
        <v>-5.7075328307452265E-3</v>
      </c>
      <c r="D12" s="16">
        <v>-2.6884513768364281E-2</v>
      </c>
      <c r="F12" s="19" t="s">
        <v>25</v>
      </c>
      <c r="G12" s="19">
        <v>1</v>
      </c>
      <c r="H12" s="19">
        <v>5.5771040327449992E-2</v>
      </c>
      <c r="I12" s="19">
        <v>5.5771040327449992E-2</v>
      </c>
      <c r="J12" s="19">
        <v>34.708394525022229</v>
      </c>
      <c r="K12" s="19">
        <v>1.7780597140100157E-7</v>
      </c>
      <c r="L12" s="11"/>
      <c r="M12" s="11"/>
      <c r="N12" s="11"/>
      <c r="O12" s="11"/>
      <c r="P12" s="19" t="s">
        <v>25</v>
      </c>
      <c r="Q12" s="19">
        <v>1</v>
      </c>
      <c r="R12" s="19">
        <v>0.12531855455935051</v>
      </c>
      <c r="S12" s="19">
        <v>0.12531855455935051</v>
      </c>
      <c r="T12" s="19">
        <v>37.67183225751517</v>
      </c>
      <c r="U12" s="19">
        <v>6.8502916174035824E-8</v>
      </c>
    </row>
    <row r="13" spans="1:24" x14ac:dyDescent="0.35">
      <c r="A13" s="31">
        <v>43191</v>
      </c>
      <c r="B13" s="16">
        <v>-1.2953546894562238E-2</v>
      </c>
      <c r="C13" s="15">
        <v>-5.5204246656696279E-2</v>
      </c>
      <c r="D13" s="16">
        <v>2.718801001185326E-3</v>
      </c>
      <c r="F13" s="19" t="s">
        <v>26</v>
      </c>
      <c r="G13" s="19">
        <v>61</v>
      </c>
      <c r="H13" s="19">
        <v>9.8017597948007393E-2</v>
      </c>
      <c r="I13" s="19">
        <v>1.6068458680001212E-3</v>
      </c>
      <c r="J13" s="19"/>
      <c r="K13" s="19"/>
      <c r="L13" s="11"/>
      <c r="M13" s="11"/>
      <c r="N13" s="11"/>
      <c r="O13" s="11"/>
      <c r="P13" s="19" t="s">
        <v>26</v>
      </c>
      <c r="Q13" s="19">
        <v>61</v>
      </c>
      <c r="R13" s="19">
        <v>0.20292168896551058</v>
      </c>
      <c r="S13" s="19">
        <v>3.3265850650083702E-3</v>
      </c>
      <c r="T13" s="19"/>
      <c r="U13" s="19"/>
    </row>
    <row r="14" spans="1:24" ht="15" thickBot="1" x14ac:dyDescent="0.4">
      <c r="A14" s="31">
        <v>43221</v>
      </c>
      <c r="B14" s="16">
        <v>-5.431262342072745E-2</v>
      </c>
      <c r="C14" s="15">
        <v>-2.5179471925903037E-2</v>
      </c>
      <c r="D14" s="16">
        <v>2.1608353316591378E-2</v>
      </c>
      <c r="F14" s="20" t="s">
        <v>27</v>
      </c>
      <c r="G14" s="20">
        <v>62</v>
      </c>
      <c r="H14" s="20">
        <v>0.15378863827545738</v>
      </c>
      <c r="I14" s="20"/>
      <c r="J14" s="20"/>
      <c r="K14" s="20"/>
      <c r="L14" s="11"/>
      <c r="M14" s="11"/>
      <c r="N14" s="11"/>
      <c r="O14" s="11"/>
      <c r="P14" s="20" t="s">
        <v>27</v>
      </c>
      <c r="Q14" s="20">
        <v>62</v>
      </c>
      <c r="R14" s="20">
        <v>0.32824024352486109</v>
      </c>
      <c r="S14" s="20"/>
      <c r="T14" s="20"/>
      <c r="U14" s="20"/>
    </row>
    <row r="15" spans="1:24" ht="15" thickBot="1" x14ac:dyDescent="0.4">
      <c r="A15" s="31">
        <v>43252</v>
      </c>
      <c r="B15" s="16">
        <v>2.1902032785036458E-2</v>
      </c>
      <c r="C15" s="15">
        <v>-4.188777955221956E-4</v>
      </c>
      <c r="D15" s="16">
        <v>4.842400204046143E-3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24" x14ac:dyDescent="0.35">
      <c r="A16" s="31">
        <v>43282</v>
      </c>
      <c r="B16" s="16">
        <v>9.2137914367884155E-2</v>
      </c>
      <c r="C16" s="15">
        <v>3.7437136660698429E-2</v>
      </c>
      <c r="D16" s="16">
        <v>3.6021586465418642E-2</v>
      </c>
      <c r="F16" s="21"/>
      <c r="G16" s="21" t="s">
        <v>28</v>
      </c>
      <c r="H16" s="21" t="s">
        <v>18</v>
      </c>
      <c r="I16" s="21" t="s">
        <v>29</v>
      </c>
      <c r="J16" s="21" t="s">
        <v>30</v>
      </c>
      <c r="K16" s="21" t="s">
        <v>31</v>
      </c>
      <c r="L16" s="21" t="s">
        <v>32</v>
      </c>
      <c r="M16" s="21" t="s">
        <v>33</v>
      </c>
      <c r="N16" s="21" t="s">
        <v>34</v>
      </c>
      <c r="O16" s="11"/>
      <c r="P16" s="21"/>
      <c r="Q16" s="21" t="s">
        <v>28</v>
      </c>
      <c r="R16" s="21" t="s">
        <v>18</v>
      </c>
      <c r="S16" s="21" t="s">
        <v>29</v>
      </c>
      <c r="T16" s="21" t="s">
        <v>30</v>
      </c>
      <c r="U16" s="21" t="s">
        <v>31</v>
      </c>
      <c r="V16" s="21" t="s">
        <v>32</v>
      </c>
      <c r="W16" s="21" t="s">
        <v>33</v>
      </c>
      <c r="X16" s="21" t="s">
        <v>34</v>
      </c>
    </row>
    <row r="17" spans="1:24" x14ac:dyDescent="0.35">
      <c r="A17" s="31">
        <v>43313</v>
      </c>
      <c r="B17" s="16">
        <v>1.6374823567115955E-2</v>
      </c>
      <c r="C17" s="15">
        <v>1.0695079477959861E-2</v>
      </c>
      <c r="D17" s="16">
        <v>3.0263218631603996E-2</v>
      </c>
      <c r="F17" s="19" t="s">
        <v>35</v>
      </c>
      <c r="G17" s="19">
        <v>3.4650956210539284E-3</v>
      </c>
      <c r="H17" s="19">
        <v>5.1358467708751817E-3</v>
      </c>
      <c r="I17" s="19">
        <v>0.67468827939028519</v>
      </c>
      <c r="J17" s="19">
        <v>0.50242303081995754</v>
      </c>
      <c r="K17" s="19">
        <v>-6.8046647109081902E-3</v>
      </c>
      <c r="L17" s="19">
        <v>1.3734855953016047E-2</v>
      </c>
      <c r="M17" s="19">
        <v>-6.8046647109081902E-3</v>
      </c>
      <c r="N17" s="19">
        <v>1.3734855953016047E-2</v>
      </c>
      <c r="O17" s="11"/>
      <c r="P17" s="19" t="s">
        <v>35</v>
      </c>
      <c r="Q17" s="19">
        <v>-4.6539905410846096E-3</v>
      </c>
      <c r="R17" s="19">
        <v>7.389656727050436E-3</v>
      </c>
      <c r="S17" s="19">
        <v>-0.62979793419203101</v>
      </c>
      <c r="T17" s="19">
        <v>0.53117881230159469</v>
      </c>
      <c r="U17" s="19">
        <v>-1.9430522417511181E-2</v>
      </c>
      <c r="V17" s="19">
        <v>1.0122541335341961E-2</v>
      </c>
      <c r="W17" s="19">
        <v>-1.9430522417511181E-2</v>
      </c>
      <c r="X17" s="19">
        <v>1.0122541335341961E-2</v>
      </c>
    </row>
    <row r="18" spans="1:24" ht="15" thickBot="1" x14ac:dyDescent="0.4">
      <c r="A18" s="31">
        <v>43344</v>
      </c>
      <c r="B18" s="16">
        <v>3.2673446514334299E-2</v>
      </c>
      <c r="C18" s="15">
        <v>4.3443697744252857E-2</v>
      </c>
      <c r="D18" s="16">
        <v>4.2943009181394707E-3</v>
      </c>
      <c r="F18" s="20" t="s">
        <v>46</v>
      </c>
      <c r="G18" s="20">
        <v>0.62877217586326761</v>
      </c>
      <c r="H18" s="20">
        <v>0.1067274302081086</v>
      </c>
      <c r="I18" s="20">
        <v>5.8913830740346711</v>
      </c>
      <c r="J18" s="20">
        <v>1.7780597140100252E-7</v>
      </c>
      <c r="K18" s="20">
        <v>0.41535748925323224</v>
      </c>
      <c r="L18" s="20">
        <v>0.84218686247330299</v>
      </c>
      <c r="M18" s="20">
        <v>0.41535748925323224</v>
      </c>
      <c r="N18" s="20">
        <v>0.84218686247330299</v>
      </c>
      <c r="O18" s="11"/>
      <c r="P18" s="20" t="s">
        <v>46</v>
      </c>
      <c r="Q18" s="20">
        <v>0.94253314376805375</v>
      </c>
      <c r="R18" s="20">
        <v>0.15356359092928301</v>
      </c>
      <c r="S18" s="20">
        <v>6.137738366655519</v>
      </c>
      <c r="T18" s="20">
        <v>6.8502916174036195E-8</v>
      </c>
      <c r="U18" s="20">
        <v>0.63546376554934436</v>
      </c>
      <c r="V18" s="20">
        <v>1.249602521986763</v>
      </c>
      <c r="W18" s="20">
        <v>0.63546376554934436</v>
      </c>
      <c r="X18" s="20">
        <v>1.249602521986763</v>
      </c>
    </row>
    <row r="19" spans="1:24" x14ac:dyDescent="0.35">
      <c r="A19" s="31">
        <v>43374</v>
      </c>
      <c r="B19" s="16">
        <v>1.3172191349263585E-2</v>
      </c>
      <c r="C19" s="15">
        <v>-0.23662452792967195</v>
      </c>
      <c r="D19" s="16">
        <v>-6.9403358979814631E-2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24" x14ac:dyDescent="0.35">
      <c r="A20" s="31">
        <v>43405</v>
      </c>
      <c r="B20" s="16">
        <v>4.936060537746504E-2</v>
      </c>
      <c r="C20" s="15">
        <v>7.6583187088143698E-2</v>
      </c>
      <c r="D20" s="16">
        <v>1.7859381799140144E-2</v>
      </c>
      <c r="F20" s="28" t="s">
        <v>36</v>
      </c>
      <c r="G20" s="11"/>
      <c r="H20" s="11"/>
      <c r="I20" s="11"/>
      <c r="J20" s="6">
        <f>G18</f>
        <v>0.62877217586326761</v>
      </c>
      <c r="K20" s="46"/>
      <c r="L20" s="11"/>
      <c r="M20" s="11"/>
      <c r="N20" s="11"/>
      <c r="O20" s="11"/>
      <c r="P20" s="28" t="s">
        <v>49</v>
      </c>
      <c r="Q20" s="11"/>
      <c r="R20" s="11"/>
      <c r="T20" s="18">
        <f>Q18</f>
        <v>0.94253314376805375</v>
      </c>
    </row>
    <row r="21" spans="1:24" x14ac:dyDescent="0.35">
      <c r="A21" s="31">
        <v>43435</v>
      </c>
      <c r="B21" s="16">
        <v>-0.11591688496990979</v>
      </c>
      <c r="C21" s="15">
        <v>-7.3648248104292671E-2</v>
      </c>
      <c r="D21" s="16">
        <v>-9.1776955767217297E-2</v>
      </c>
      <c r="F21" s="11" t="s">
        <v>37</v>
      </c>
      <c r="G21" s="11"/>
      <c r="H21" s="11"/>
      <c r="I21" s="11"/>
      <c r="J21" s="6">
        <f>'Stock Returns'!G2</f>
        <v>9.4263603804975275E-3</v>
      </c>
      <c r="K21" s="45"/>
      <c r="L21" s="11"/>
      <c r="M21" s="11"/>
      <c r="N21" s="11"/>
      <c r="O21" s="11"/>
      <c r="P21" s="11" t="s">
        <v>51</v>
      </c>
      <c r="Q21" s="11"/>
      <c r="R21" s="11"/>
      <c r="T21" s="18">
        <f>'Stock Returns'!H2</f>
        <v>5.1006922192108973E-3</v>
      </c>
    </row>
    <row r="22" spans="1:24" x14ac:dyDescent="0.35">
      <c r="A22" s="31">
        <v>43466</v>
      </c>
      <c r="B22" s="16">
        <v>3.1228377134016435E-2</v>
      </c>
      <c r="C22" s="15">
        <v>0.1825460910509607</v>
      </c>
      <c r="D22" s="16">
        <v>7.8684404731036967E-2</v>
      </c>
      <c r="F22" s="11" t="s">
        <v>38</v>
      </c>
      <c r="G22" s="11"/>
      <c r="H22" s="11"/>
      <c r="I22" s="11"/>
      <c r="J22" s="29">
        <f>J27/12</f>
        <v>2.5000000000000001E-3</v>
      </c>
      <c r="K22" s="45"/>
      <c r="L22" s="11"/>
      <c r="M22" s="11"/>
      <c r="N22" s="11"/>
      <c r="O22" s="11"/>
      <c r="P22" s="11" t="s">
        <v>38</v>
      </c>
      <c r="Q22" s="11"/>
      <c r="R22" s="11"/>
      <c r="T22" s="25">
        <v>1.25E-3</v>
      </c>
    </row>
    <row r="23" spans="1:24" x14ac:dyDescent="0.35">
      <c r="A23" s="31">
        <v>43497</v>
      </c>
      <c r="B23" s="16">
        <v>2.6750679758526057E-2</v>
      </c>
      <c r="C23" s="15">
        <v>2.7600121003747393E-2</v>
      </c>
      <c r="D23" s="16">
        <v>2.9728930143115964E-2</v>
      </c>
      <c r="F23" s="11"/>
      <c r="G23" s="11"/>
      <c r="H23" s="11"/>
      <c r="I23" s="11"/>
      <c r="J23" s="6"/>
      <c r="K23" s="45"/>
      <c r="L23" s="11"/>
      <c r="M23" s="11"/>
      <c r="N23" s="11"/>
      <c r="O23" s="11"/>
      <c r="P23" s="11"/>
      <c r="Q23" s="11"/>
      <c r="R23" s="11"/>
    </row>
    <row r="24" spans="1:24" x14ac:dyDescent="0.35">
      <c r="A24" s="31">
        <v>43525</v>
      </c>
      <c r="B24" s="16">
        <v>2.9838359378453406E-2</v>
      </c>
      <c r="C24" s="15">
        <v>3.3403016676705248E-2</v>
      </c>
      <c r="D24" s="16">
        <v>1.7924287751078408E-2</v>
      </c>
      <c r="F24" s="11" t="s">
        <v>44</v>
      </c>
      <c r="G24" s="11"/>
      <c r="H24" s="11"/>
      <c r="I24" s="11"/>
      <c r="J24" s="11"/>
      <c r="K24" s="45"/>
      <c r="L24" s="11"/>
      <c r="M24" s="11"/>
      <c r="N24" s="11"/>
      <c r="O24" s="11"/>
      <c r="P24" s="11" t="s">
        <v>44</v>
      </c>
      <c r="Q24" s="11"/>
      <c r="R24" s="11"/>
    </row>
    <row r="25" spans="1:24" x14ac:dyDescent="0.35">
      <c r="A25" s="31">
        <v>43556</v>
      </c>
      <c r="B25" s="16">
        <v>1.0086597823145799E-2</v>
      </c>
      <c r="C25" s="15">
        <v>-5.8822521759359691E-3</v>
      </c>
      <c r="D25" s="16">
        <v>3.9313434942139368E-2</v>
      </c>
      <c r="F25" s="28" t="s">
        <v>36</v>
      </c>
      <c r="G25" s="11"/>
      <c r="H25" s="11"/>
      <c r="I25" s="11"/>
      <c r="J25" s="6">
        <f>G18</f>
        <v>0.62877217586326761</v>
      </c>
      <c r="K25" s="45"/>
      <c r="L25" s="11"/>
      <c r="M25" s="11"/>
      <c r="N25" s="11"/>
      <c r="O25" s="11"/>
      <c r="P25" s="28" t="s">
        <v>49</v>
      </c>
      <c r="Q25" s="11"/>
      <c r="R25" s="11"/>
      <c r="T25" s="6">
        <f>Q18</f>
        <v>0.94253314376805375</v>
      </c>
    </row>
    <row r="26" spans="1:24" x14ac:dyDescent="0.35">
      <c r="A26" s="31">
        <v>43586</v>
      </c>
      <c r="B26" s="16">
        <v>-7.11755082472324E-2</v>
      </c>
      <c r="C26" s="15">
        <v>-9.4674487666840959E-2</v>
      </c>
      <c r="D26" s="16">
        <v>-6.5777726481161508E-2</v>
      </c>
      <c r="F26" s="11" t="s">
        <v>43</v>
      </c>
      <c r="G26" s="11"/>
      <c r="H26" s="11"/>
      <c r="I26" s="11"/>
      <c r="J26" s="6">
        <f>J21*12</f>
        <v>0.11311632456597033</v>
      </c>
      <c r="K26" s="45"/>
      <c r="L26" s="11"/>
      <c r="M26" s="11"/>
      <c r="N26" s="11"/>
      <c r="O26" s="11"/>
      <c r="P26" s="11" t="s">
        <v>52</v>
      </c>
      <c r="Q26" s="11"/>
      <c r="R26" s="11"/>
      <c r="T26" s="18">
        <f>T21*12</f>
        <v>6.120830663053077E-2</v>
      </c>
    </row>
    <row r="27" spans="1:24" x14ac:dyDescent="0.35">
      <c r="A27" s="31">
        <v>43617</v>
      </c>
      <c r="B27" s="16">
        <v>6.9256634590166108E-2</v>
      </c>
      <c r="C27" s="15">
        <v>9.8811206962445067E-2</v>
      </c>
      <c r="D27" s="16">
        <v>6.8930183208215035E-2</v>
      </c>
      <c r="F27" s="11" t="s">
        <v>42</v>
      </c>
      <c r="G27" s="11"/>
      <c r="H27" s="11"/>
      <c r="I27" s="11"/>
      <c r="J27" s="11">
        <v>0.03</v>
      </c>
      <c r="K27" s="45"/>
      <c r="L27" s="11"/>
      <c r="M27" s="11"/>
      <c r="N27" s="11"/>
      <c r="O27" s="11"/>
      <c r="P27" s="11" t="s">
        <v>42</v>
      </c>
      <c r="Q27" s="11"/>
      <c r="R27" s="11"/>
      <c r="T27" s="16">
        <f>T22*12</f>
        <v>1.4999999999999999E-2</v>
      </c>
    </row>
    <row r="28" spans="1:24" x14ac:dyDescent="0.35">
      <c r="A28" s="31">
        <v>43647</v>
      </c>
      <c r="B28" s="16">
        <v>-6.5048785099045742E-2</v>
      </c>
      <c r="C28" s="15">
        <v>7.4981828062680042E-2</v>
      </c>
      <c r="D28" s="16">
        <v>1.312819536603934E-2</v>
      </c>
      <c r="F28" s="11" t="s">
        <v>45</v>
      </c>
      <c r="G28" s="11"/>
      <c r="H28" s="11"/>
      <c r="I28" s="11"/>
      <c r="J28" s="11">
        <v>7.0000000000000007E-2</v>
      </c>
      <c r="K28" s="45"/>
      <c r="L28" s="11"/>
      <c r="M28" s="11"/>
      <c r="N28" s="11"/>
      <c r="O28" s="11"/>
      <c r="P28" s="11" t="s">
        <v>45</v>
      </c>
      <c r="Q28" s="11"/>
      <c r="R28" s="11"/>
      <c r="T28" s="16">
        <v>7.0000000000000007E-2</v>
      </c>
    </row>
    <row r="29" spans="1:24" x14ac:dyDescent="0.35">
      <c r="A29" s="31">
        <v>43678</v>
      </c>
      <c r="B29" s="16">
        <v>-1.4283579312045628E-2</v>
      </c>
      <c r="C29" s="15">
        <v>-8.5739341932929369E-2</v>
      </c>
      <c r="D29" s="16">
        <v>-1.8091652742267789E-2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24" x14ac:dyDescent="0.35">
      <c r="A30" s="31">
        <v>43709</v>
      </c>
      <c r="B30" s="16">
        <v>1.5499214380179965E-2</v>
      </c>
      <c r="C30" s="15">
        <v>8.5615318291403064E-2</v>
      </c>
      <c r="D30" s="16">
        <v>1.7181167690656883E-2</v>
      </c>
      <c r="F30" s="30" t="s">
        <v>85</v>
      </c>
      <c r="G30" s="11"/>
      <c r="H30" s="11"/>
      <c r="I30" s="11"/>
      <c r="J30" s="59">
        <f>J27+J25*J28</f>
        <v>7.4014052310428735E-2</v>
      </c>
      <c r="K30" s="11"/>
      <c r="L30" s="11"/>
      <c r="M30" s="11"/>
      <c r="N30" s="11"/>
      <c r="O30" s="11"/>
      <c r="P30" s="28" t="s">
        <v>71</v>
      </c>
      <c r="Q30" s="11"/>
      <c r="R30" s="11"/>
      <c r="T30" s="60">
        <f>T27+T25*T28</f>
        <v>8.0977320063763764E-2</v>
      </c>
    </row>
    <row r="31" spans="1:24" x14ac:dyDescent="0.35">
      <c r="A31" s="31">
        <v>43739</v>
      </c>
      <c r="B31" s="16">
        <v>2.0559481141799552E-2</v>
      </c>
      <c r="C31" s="15">
        <v>-8.0387849698227112E-2</v>
      </c>
      <c r="D31" s="16">
        <v>2.0431747482144953E-2</v>
      </c>
      <c r="F31" s="45"/>
      <c r="G31" s="11"/>
      <c r="H31" s="11"/>
      <c r="I31" s="11"/>
      <c r="J31" s="46"/>
      <c r="K31" s="11"/>
      <c r="L31" s="11"/>
      <c r="M31" s="11"/>
      <c r="N31" s="11"/>
      <c r="O31" s="11"/>
      <c r="P31" s="11"/>
      <c r="Q31" s="11"/>
      <c r="R31" s="11"/>
    </row>
    <row r="32" spans="1:24" x14ac:dyDescent="0.35">
      <c r="A32" s="31">
        <v>43770</v>
      </c>
      <c r="B32" s="16">
        <v>4.1275542333849856E-2</v>
      </c>
      <c r="C32" s="15">
        <v>5.3839136258253496E-3</v>
      </c>
      <c r="D32" s="16">
        <v>3.4047064090915104E-2</v>
      </c>
      <c r="F32" s="45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23" x14ac:dyDescent="0.35">
      <c r="A33" s="31">
        <v>43800</v>
      </c>
      <c r="B33" s="16">
        <v>6.8300257013642451E-2</v>
      </c>
      <c r="C33" s="15">
        <v>8.7255065130192218E-3</v>
      </c>
      <c r="D33" s="16">
        <v>2.8589803182446302E-2</v>
      </c>
      <c r="F33" s="40" t="s">
        <v>63</v>
      </c>
      <c r="G33" s="40">
        <v>0.66</v>
      </c>
      <c r="H33" s="40"/>
      <c r="I33" s="40"/>
      <c r="J33" s="40"/>
      <c r="K33" s="40"/>
      <c r="L33" s="40"/>
      <c r="M33" s="40"/>
      <c r="N33" s="40"/>
      <c r="O33" s="40"/>
      <c r="P33" s="40" t="s">
        <v>63</v>
      </c>
      <c r="Q33" s="11">
        <v>1</v>
      </c>
      <c r="R33" s="11"/>
    </row>
    <row r="34" spans="1:23" x14ac:dyDescent="0.35">
      <c r="A34" s="31">
        <v>43831</v>
      </c>
      <c r="B34" s="16">
        <v>2.0566346664767487E-2</v>
      </c>
      <c r="C34" s="15">
        <v>7.2291835945574298E-2</v>
      </c>
      <c r="D34" s="16">
        <v>-1.6280898111292685E-3</v>
      </c>
      <c r="F34" s="40" t="s">
        <v>66</v>
      </c>
      <c r="G34" s="42" t="s">
        <v>76</v>
      </c>
      <c r="H34" s="40"/>
      <c r="I34" s="40"/>
      <c r="J34" s="40"/>
      <c r="K34" s="40"/>
      <c r="L34" s="40"/>
      <c r="M34" s="40"/>
      <c r="N34" s="40"/>
      <c r="O34" s="40"/>
      <c r="P34" s="40" t="s">
        <v>66</v>
      </c>
      <c r="Q34" s="43" t="s">
        <v>77</v>
      </c>
      <c r="R34" s="11"/>
    </row>
    <row r="35" spans="1:23" x14ac:dyDescent="0.35">
      <c r="A35" s="31">
        <v>43862</v>
      </c>
      <c r="B35" s="16">
        <v>-9.6661588490520645E-2</v>
      </c>
      <c r="C35" s="15">
        <v>-9.4482661187145142E-2</v>
      </c>
      <c r="D35" s="16">
        <v>-8.4110469009648109E-2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  <row r="36" spans="1:23" x14ac:dyDescent="0.35">
      <c r="A36" s="31">
        <v>43891</v>
      </c>
      <c r="B36" s="16">
        <v>-1.8692827872957632E-2</v>
      </c>
      <c r="C36" s="15">
        <v>-0.1387755399666126</v>
      </c>
      <c r="D36" s="16">
        <v>-0.12511932083595659</v>
      </c>
      <c r="F36" s="53" t="s">
        <v>86</v>
      </c>
      <c r="G36" s="41"/>
      <c r="H36" s="41"/>
      <c r="I36" s="41"/>
      <c r="J36" s="41"/>
      <c r="K36" s="41"/>
      <c r="L36" s="41"/>
      <c r="M36" s="41"/>
      <c r="N36" s="41"/>
      <c r="O36" s="41"/>
      <c r="P36" s="53" t="s">
        <v>86</v>
      </c>
      <c r="Q36" s="41"/>
      <c r="R36" s="41"/>
      <c r="S36" s="41"/>
      <c r="T36" s="41"/>
      <c r="U36" s="41"/>
      <c r="V36" s="41"/>
      <c r="W36" s="41"/>
    </row>
    <row r="37" spans="1:23" x14ac:dyDescent="0.35">
      <c r="A37" s="31">
        <v>43922</v>
      </c>
      <c r="B37" s="16">
        <v>0.14420780450371851</v>
      </c>
      <c r="C37" s="15">
        <v>0.13188487180268479</v>
      </c>
      <c r="D37" s="16">
        <v>0.12684410293315368</v>
      </c>
      <c r="F37" s="53"/>
      <c r="G37" s="41"/>
      <c r="H37" s="41"/>
      <c r="I37" s="41"/>
      <c r="J37" s="41"/>
      <c r="K37" s="41"/>
      <c r="L37" s="41"/>
      <c r="M37" s="41"/>
      <c r="P37" s="53"/>
      <c r="Q37" s="41"/>
      <c r="R37" s="41"/>
      <c r="S37" s="41"/>
      <c r="T37" s="41"/>
      <c r="U37" s="41"/>
      <c r="V37" s="41"/>
      <c r="W37" s="41"/>
    </row>
    <row r="38" spans="1:23" x14ac:dyDescent="0.35">
      <c r="A38" s="31">
        <v>43952</v>
      </c>
      <c r="B38" s="16">
        <v>-8.5975160024711755E-3</v>
      </c>
      <c r="C38" s="15">
        <v>-5.2564036579866606E-3</v>
      </c>
      <c r="D38" s="16">
        <v>4.5281775012618368E-2</v>
      </c>
      <c r="F38" s="56" t="s">
        <v>92</v>
      </c>
      <c r="G38" s="57">
        <v>2.4500672921242219E-2</v>
      </c>
      <c r="H38" s="41" t="s">
        <v>88</v>
      </c>
      <c r="I38" s="41"/>
      <c r="J38" s="41"/>
      <c r="K38" s="41"/>
      <c r="L38" s="41"/>
      <c r="M38" s="41"/>
      <c r="P38" s="56" t="s">
        <v>92</v>
      </c>
      <c r="Q38" s="57">
        <v>4.9007154872597873E-2</v>
      </c>
      <c r="R38" s="41" t="s">
        <v>88</v>
      </c>
      <c r="S38" s="41"/>
      <c r="T38" s="41"/>
      <c r="U38" s="41"/>
      <c r="V38" s="41"/>
      <c r="W38" s="41"/>
    </row>
    <row r="39" spans="1:23" x14ac:dyDescent="0.35">
      <c r="A39" s="31">
        <v>43983</v>
      </c>
      <c r="B39" s="16">
        <v>-4.8034665289920057E-2</v>
      </c>
      <c r="C39" s="15">
        <v>-2.0098752236437773E-2</v>
      </c>
      <c r="D39" s="16">
        <v>1.838840328350267E-2</v>
      </c>
      <c r="F39" s="56" t="s">
        <v>93</v>
      </c>
      <c r="G39" s="57">
        <v>0.13301271226510678</v>
      </c>
      <c r="H39" s="41" t="s">
        <v>88</v>
      </c>
      <c r="I39" s="41"/>
      <c r="J39" s="41"/>
      <c r="K39" s="41"/>
      <c r="L39" s="41"/>
      <c r="M39" s="41"/>
      <c r="P39" s="56" t="s">
        <v>93</v>
      </c>
      <c r="Q39" s="57">
        <v>-6.6329753632343906E-3</v>
      </c>
      <c r="R39" s="41" t="s">
        <v>88</v>
      </c>
      <c r="S39" s="41"/>
      <c r="T39" s="41"/>
      <c r="U39" s="41"/>
      <c r="V39" s="41"/>
      <c r="W39" s="41"/>
    </row>
    <row r="40" spans="1:23" x14ac:dyDescent="0.35">
      <c r="A40" s="31">
        <v>44013</v>
      </c>
      <c r="B40" s="16">
        <v>3.6478713047050401E-2</v>
      </c>
      <c r="C40" s="15">
        <v>1.7968121839851605E-2</v>
      </c>
      <c r="D40" s="16">
        <v>5.5101296975444213E-2</v>
      </c>
      <c r="F40" s="55" t="s">
        <v>89</v>
      </c>
      <c r="G40" s="58">
        <f>SUM(G38:G39)</f>
        <v>0.157513385186349</v>
      </c>
      <c r="H40" s="41"/>
      <c r="I40" s="41"/>
      <c r="J40" s="41"/>
      <c r="K40" s="41"/>
      <c r="L40" s="41"/>
      <c r="M40" s="41"/>
      <c r="P40" s="55" t="s">
        <v>89</v>
      </c>
      <c r="Q40" s="58">
        <f>SUM(Q38:Q39)</f>
        <v>4.237417950936348E-2</v>
      </c>
      <c r="R40" s="41"/>
      <c r="S40" s="41"/>
      <c r="T40" s="41"/>
      <c r="U40" s="41"/>
      <c r="V40" s="41"/>
      <c r="W40" s="41"/>
    </row>
    <row r="41" spans="1:23" x14ac:dyDescent="0.35">
      <c r="A41" s="31">
        <v>44044</v>
      </c>
      <c r="B41" s="16">
        <v>5.2483487165360269E-2</v>
      </c>
      <c r="C41" s="15">
        <v>3.0095494517625972E-3</v>
      </c>
      <c r="D41" s="16">
        <v>7.0064687324219249E-2</v>
      </c>
      <c r="F41" s="39"/>
      <c r="P41" s="39"/>
      <c r="Q41" s="16"/>
      <c r="R41" s="16"/>
      <c r="S41" s="16"/>
      <c r="T41" s="16"/>
      <c r="U41" s="16"/>
      <c r="V41" s="16"/>
      <c r="W41" s="16"/>
    </row>
    <row r="42" spans="1:23" x14ac:dyDescent="0.35">
      <c r="A42" s="31">
        <v>44075</v>
      </c>
      <c r="B42" s="16">
        <v>-2.3069446105701788E-2</v>
      </c>
      <c r="C42" s="15">
        <v>-3.8050641901238145E-4</v>
      </c>
      <c r="D42" s="16">
        <v>-3.9227954095494386E-2</v>
      </c>
      <c r="P42" s="16"/>
      <c r="Q42" s="16"/>
      <c r="R42" s="16"/>
      <c r="S42" s="16"/>
      <c r="T42" s="16"/>
      <c r="U42" s="16"/>
      <c r="V42" s="16"/>
      <c r="W42" s="16"/>
    </row>
    <row r="43" spans="1:23" x14ac:dyDescent="0.35">
      <c r="A43" s="31">
        <v>44105</v>
      </c>
      <c r="B43" s="16">
        <v>-7.9057048978641242E-2</v>
      </c>
      <c r="C43" s="15">
        <v>-8.2271687651948797E-2</v>
      </c>
      <c r="D43" s="16">
        <v>-2.766577460600653E-2</v>
      </c>
      <c r="F43" s="17" t="s">
        <v>87</v>
      </c>
      <c r="G43" s="47"/>
      <c r="H43" s="47">
        <v>2021</v>
      </c>
      <c r="I43" s="47">
        <v>2020</v>
      </c>
      <c r="J43" s="49">
        <v>2019</v>
      </c>
      <c r="K43" s="47" t="s">
        <v>80</v>
      </c>
      <c r="O43" s="16"/>
      <c r="P43" s="17" t="s">
        <v>87</v>
      </c>
      <c r="Q43" s="47"/>
      <c r="R43" s="47">
        <v>2021</v>
      </c>
      <c r="S43" s="47">
        <v>2020</v>
      </c>
      <c r="T43" s="49">
        <v>2019</v>
      </c>
      <c r="U43" s="47" t="s">
        <v>80</v>
      </c>
      <c r="V43" s="16"/>
      <c r="W43" s="16"/>
    </row>
    <row r="44" spans="1:23" x14ac:dyDescent="0.35">
      <c r="A44" s="31">
        <v>44136</v>
      </c>
      <c r="B44" s="16">
        <v>5.5211208240373108E-2</v>
      </c>
      <c r="C44" s="15">
        <v>0.10621515984316554</v>
      </c>
      <c r="D44" s="16">
        <v>0.10754565805086302</v>
      </c>
      <c r="G44" s="47" t="s">
        <v>78</v>
      </c>
      <c r="H44" s="48">
        <f>1898/22776</f>
        <v>8.3333333333333329E-2</v>
      </c>
      <c r="I44" s="48">
        <f>1783/16497</f>
        <v>0.10808025701642723</v>
      </c>
      <c r="J44" s="48">
        <f>2209/17328</f>
        <v>0.1274815327793167</v>
      </c>
      <c r="K44" s="48">
        <f>AVERAGE(H44:J44)</f>
        <v>0.1062983743763591</v>
      </c>
      <c r="L44" t="s">
        <v>83</v>
      </c>
      <c r="O44" s="16"/>
      <c r="P44" s="16"/>
      <c r="Q44" s="47" t="s">
        <v>78</v>
      </c>
      <c r="R44" s="48"/>
      <c r="S44" s="48">
        <f>-864/4637</f>
        <v>-0.18632736683200346</v>
      </c>
      <c r="T44" s="48">
        <v>7.1906354515050161E-2</v>
      </c>
      <c r="U44" s="48">
        <f>AVERAGE(R44:T44)</f>
        <v>-5.721050615847665E-2</v>
      </c>
      <c r="V44" s="16" t="s">
        <v>83</v>
      </c>
      <c r="W44" s="16"/>
    </row>
    <row r="45" spans="1:23" x14ac:dyDescent="0.35">
      <c r="A45" s="31">
        <v>44166</v>
      </c>
      <c r="B45" s="16">
        <v>9.5338626598264212E-2</v>
      </c>
      <c r="C45" s="15">
        <v>3.3883797103554554E-2</v>
      </c>
      <c r="D45" s="16">
        <v>3.7121406659432372E-2</v>
      </c>
      <c r="G45" s="47" t="s">
        <v>79</v>
      </c>
      <c r="H45" s="47">
        <v>2.89</v>
      </c>
      <c r="I45" s="47">
        <v>2.85</v>
      </c>
      <c r="J45" s="47">
        <v>3.19</v>
      </c>
      <c r="K45" s="48">
        <f>AVERAGE(H45:J45)</f>
        <v>2.9766666666666666</v>
      </c>
      <c r="L45" t="s">
        <v>83</v>
      </c>
      <c r="O45" s="16"/>
      <c r="P45" s="16"/>
      <c r="Q45" s="47" t="s">
        <v>79</v>
      </c>
      <c r="R45" s="47"/>
      <c r="S45" s="47">
        <v>2.7</v>
      </c>
      <c r="T45" s="47">
        <v>2.9</v>
      </c>
      <c r="U45" s="48">
        <f>AVERAGE(R45:T45)</f>
        <v>2.8</v>
      </c>
      <c r="V45" s="16" t="s">
        <v>83</v>
      </c>
      <c r="W45" s="16"/>
    </row>
    <row r="46" spans="1:23" x14ac:dyDescent="0.35">
      <c r="A46" s="31">
        <v>44197</v>
      </c>
      <c r="B46" s="16">
        <v>3.653585034539375E-2</v>
      </c>
      <c r="C46" s="15">
        <v>-5.3781315489807677E-2</v>
      </c>
      <c r="D46" s="16">
        <v>-1.1136640158463601E-2</v>
      </c>
      <c r="G46" s="47" t="s">
        <v>94</v>
      </c>
      <c r="H46" s="50">
        <v>1.46</v>
      </c>
      <c r="I46" s="50">
        <v>1.7638989854293752</v>
      </c>
      <c r="J46" s="50">
        <v>1.6521834171276757</v>
      </c>
      <c r="K46" s="48">
        <f>AVERAGE(H46:J46)</f>
        <v>1.6253608008523504</v>
      </c>
      <c r="L46" t="s">
        <v>84</v>
      </c>
      <c r="O46" s="16"/>
      <c r="P46" s="16"/>
      <c r="Q46" s="47" t="s">
        <v>82</v>
      </c>
      <c r="R46" s="50"/>
      <c r="S46" s="50">
        <v>6.5250156800308776</v>
      </c>
      <c r="T46" s="50">
        <v>6.2521801286633307</v>
      </c>
      <c r="U46" s="48">
        <f>AVERAGE(R46:T46)</f>
        <v>6.3885979043471046</v>
      </c>
      <c r="V46" s="16" t="s">
        <v>84</v>
      </c>
      <c r="W46" s="16"/>
    </row>
    <row r="47" spans="1:23" x14ac:dyDescent="0.35">
      <c r="A47" s="31">
        <v>44228</v>
      </c>
      <c r="B47" s="16">
        <v>-2.8627561860665639E-2</v>
      </c>
      <c r="C47" s="15">
        <v>-1.5112401203289936E-3</v>
      </c>
      <c r="D47" s="16">
        <v>2.6091474971999741E-2</v>
      </c>
      <c r="G47" s="51" t="s">
        <v>81</v>
      </c>
      <c r="H47" s="52">
        <f>(J30+(1-K44)*K46*K45)/1+((1-K44)*K46)</f>
        <v>5.8504707016650928</v>
      </c>
      <c r="I47" s="54"/>
      <c r="O47" s="16"/>
      <c r="P47" s="16"/>
      <c r="Q47" s="51" t="s">
        <v>81</v>
      </c>
      <c r="R47" s="52">
        <f>(T30+(1-U44)*U46*U45)/1+((1-U44)*U46)</f>
        <v>25.746530051635347</v>
      </c>
      <c r="S47" s="54"/>
      <c r="T47" s="16"/>
      <c r="U47" s="16"/>
      <c r="V47" s="16"/>
      <c r="W47" s="16"/>
    </row>
    <row r="48" spans="1:23" x14ac:dyDescent="0.35">
      <c r="A48" s="31">
        <v>44256</v>
      </c>
      <c r="B48" s="16">
        <v>4.3637925305756602E-2</v>
      </c>
      <c r="C48" s="15">
        <v>0.13546385055815696</v>
      </c>
      <c r="D48" s="16">
        <v>4.2438634008107733E-2</v>
      </c>
      <c r="F48" s="39"/>
      <c r="Q48" s="39"/>
    </row>
    <row r="49" spans="1:17" x14ac:dyDescent="0.35">
      <c r="A49" s="31">
        <v>44287</v>
      </c>
      <c r="B49" s="16">
        <v>-9.8571275610284202E-3</v>
      </c>
      <c r="C49" s="15">
        <v>6.4685780612864702E-2</v>
      </c>
      <c r="D49" s="16">
        <v>5.2425312555847307E-2</v>
      </c>
      <c r="F49" s="39"/>
      <c r="Q49" s="39"/>
    </row>
    <row r="50" spans="1:17" x14ac:dyDescent="0.35">
      <c r="A50" s="31">
        <v>44317</v>
      </c>
      <c r="B50" s="16">
        <v>4.0066382069891784E-2</v>
      </c>
      <c r="C50" s="15">
        <v>1.3109674132417608E-2</v>
      </c>
      <c r="D50" s="16">
        <v>5.4865025818131288E-3</v>
      </c>
      <c r="F50" s="39"/>
      <c r="Q50" s="39"/>
    </row>
    <row r="51" spans="1:17" x14ac:dyDescent="0.35">
      <c r="A51" s="31">
        <v>44348</v>
      </c>
      <c r="B51" s="16">
        <v>-2.0574228228637415E-2</v>
      </c>
      <c r="C51" s="15">
        <v>3.1222072773775655E-2</v>
      </c>
      <c r="D51" s="16">
        <v>2.221397632316955E-2</v>
      </c>
      <c r="F51" s="39"/>
      <c r="Q51" s="39"/>
    </row>
    <row r="52" spans="1:17" x14ac:dyDescent="0.35">
      <c r="A52" s="31">
        <v>44378</v>
      </c>
      <c r="B52" s="16">
        <v>4.5283426903147531E-2</v>
      </c>
      <c r="C52" s="15">
        <v>-3.8406313087801215E-2</v>
      </c>
      <c r="D52" s="16">
        <v>2.2748109365910464E-2</v>
      </c>
      <c r="Q52" s="16"/>
    </row>
    <row r="53" spans="1:17" x14ac:dyDescent="0.35">
      <c r="A53" s="31">
        <v>44409</v>
      </c>
      <c r="B53" s="16">
        <v>5.4007479841574318E-3</v>
      </c>
      <c r="C53" s="15">
        <v>-4.3985375345814877E-3</v>
      </c>
      <c r="D53" s="16">
        <v>2.8990321391681052E-2</v>
      </c>
    </row>
    <row r="54" spans="1:17" x14ac:dyDescent="0.35">
      <c r="A54" s="31">
        <v>44440</v>
      </c>
      <c r="B54" s="11">
        <v>-7.9598838596518368E-2</v>
      </c>
      <c r="C54" s="15">
        <v>-7.7724405430957585E-2</v>
      </c>
      <c r="D54" s="11">
        <v>-4.7569140421166278E-2</v>
      </c>
      <c r="F54" s="17">
        <f>(G18^2*0.00170190957079276)/0.00218468179453131</f>
        <v>0.30798879842861687</v>
      </c>
      <c r="P54" s="17">
        <f>(Q18^2*0.00170190957079276)/0.00479962399687091</f>
        <v>0.315008684020323</v>
      </c>
    </row>
    <row r="55" spans="1:17" x14ac:dyDescent="0.35">
      <c r="A55" s="31">
        <v>44470</v>
      </c>
      <c r="B55" s="11">
        <v>8.5448915392363003E-3</v>
      </c>
      <c r="C55" s="15">
        <v>-9.9546499994091889E-2</v>
      </c>
      <c r="D55" s="11">
        <v>6.9143873301234615E-2</v>
      </c>
    </row>
    <row r="56" spans="1:17" x14ac:dyDescent="0.35">
      <c r="A56" s="31">
        <v>44501</v>
      </c>
      <c r="B56" s="11">
        <v>-4.266952673313517E-2</v>
      </c>
      <c r="C56" s="15">
        <v>-2.0890580689138367E-2</v>
      </c>
      <c r="D56" s="11">
        <v>-8.3337314184714628E-3</v>
      </c>
    </row>
    <row r="57" spans="1:17" x14ac:dyDescent="0.35">
      <c r="A57" s="31">
        <v>44531</v>
      </c>
      <c r="B57" s="11">
        <v>0.10428106473371485</v>
      </c>
      <c r="C57" s="15">
        <v>0.15664905618739305</v>
      </c>
      <c r="D57" s="11">
        <v>4.3612874972629799E-2</v>
      </c>
    </row>
    <row r="58" spans="1:17" x14ac:dyDescent="0.35">
      <c r="A58" s="31">
        <v>44562</v>
      </c>
      <c r="B58" s="11">
        <v>7.1315201225670673E-3</v>
      </c>
      <c r="C58" s="15">
        <v>-6.733274017782792E-4</v>
      </c>
      <c r="D58" s="11">
        <v>-5.2585089106999758E-2</v>
      </c>
    </row>
    <row r="59" spans="1:17" x14ac:dyDescent="0.35">
      <c r="A59" s="31">
        <v>44593</v>
      </c>
      <c r="B59" s="11">
        <v>-4.4808155446670522E-2</v>
      </c>
      <c r="C59" s="15">
        <v>-8.2803093086130347E-2</v>
      </c>
      <c r="D59" s="11">
        <v>-3.136052086678269E-2</v>
      </c>
    </row>
    <row r="60" spans="1:17" x14ac:dyDescent="0.35">
      <c r="A60" s="31">
        <v>44621</v>
      </c>
      <c r="B60" s="11">
        <v>8.3840740241499734E-2</v>
      </c>
      <c r="C60" s="15">
        <v>7.408498039532152E-2</v>
      </c>
      <c r="D60" s="11">
        <v>3.5773238773279988E-2</v>
      </c>
    </row>
    <row r="61" spans="1:17" x14ac:dyDescent="0.35">
      <c r="A61" s="31">
        <v>44652</v>
      </c>
      <c r="B61" s="11">
        <v>1.8224929511570176E-2</v>
      </c>
      <c r="C61" s="15">
        <v>1.6843605935886654E-2</v>
      </c>
      <c r="D61" s="11">
        <v>-8.7956719149039395E-2</v>
      </c>
    </row>
    <row r="62" spans="1:17" x14ac:dyDescent="0.35">
      <c r="A62" s="31">
        <v>44682</v>
      </c>
      <c r="B62" s="11">
        <v>-5.1535520334490513E-3</v>
      </c>
      <c r="C62" s="15">
        <v>5.014748160509603E-2</v>
      </c>
      <c r="D62" s="11">
        <v>5.3243883608711947E-5</v>
      </c>
    </row>
    <row r="63" spans="1:17" x14ac:dyDescent="0.35">
      <c r="A63" s="31">
        <v>44713</v>
      </c>
      <c r="B63" s="11">
        <v>-4.8979695808887922E-3</v>
      </c>
      <c r="C63" s="15">
        <v>2.9261843071942933E-2</v>
      </c>
      <c r="D63" s="11">
        <v>-8.391999322386641E-2</v>
      </c>
    </row>
    <row r="64" spans="1:17" x14ac:dyDescent="0.35">
      <c r="A64" s="31">
        <v>44743</v>
      </c>
      <c r="B64" s="11">
        <v>4.4504986888203122E-3</v>
      </c>
      <c r="C64" s="15">
        <v>-2.2027055428471384E-2</v>
      </c>
      <c r="D64" s="11">
        <v>1.577120394782025E-2</v>
      </c>
    </row>
  </sheetData>
  <phoneticPr fontId="9" type="noConversion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zoomScale="120" zoomScaleNormal="120" workbookViewId="0">
      <selection activeCell="G10" sqref="G10"/>
    </sheetView>
  </sheetViews>
  <sheetFormatPr defaultRowHeight="14.5" x14ac:dyDescent="0.35"/>
  <cols>
    <col min="1" max="1" width="16.36328125" customWidth="1"/>
    <col min="5" max="5" width="23.6328125" customWidth="1"/>
  </cols>
  <sheetData>
    <row r="1" spans="1:6" s="11" customFormat="1" x14ac:dyDescent="0.35">
      <c r="A1" s="30" t="s">
        <v>13</v>
      </c>
      <c r="E1" s="30" t="s">
        <v>12</v>
      </c>
    </row>
    <row r="3" spans="1:6" x14ac:dyDescent="0.35">
      <c r="A3" s="3" t="s">
        <v>11</v>
      </c>
      <c r="E3" s="3" t="s">
        <v>11</v>
      </c>
    </row>
    <row r="4" spans="1:6" x14ac:dyDescent="0.35">
      <c r="A4" t="s">
        <v>64</v>
      </c>
      <c r="B4" s="4">
        <f>'Stock Returns'!G7</f>
        <v>2.4659573760398177E-3</v>
      </c>
      <c r="E4" t="s">
        <v>65</v>
      </c>
      <c r="F4" s="4">
        <f>'Stock Returns'!G2-'Stock Returns'!G15</f>
        <v>6.926360380497527E-3</v>
      </c>
    </row>
    <row r="5" spans="1:6" x14ac:dyDescent="0.35">
      <c r="A5" t="s">
        <v>72</v>
      </c>
      <c r="B5" s="4">
        <f>'Stock Returns'!H8</f>
        <v>5.2509345849878477E-3</v>
      </c>
      <c r="E5" t="s">
        <v>74</v>
      </c>
      <c r="F5" s="4">
        <f>'Stock Returns'!H2-'Stock Returns'!G15</f>
        <v>2.6006922192108972E-3</v>
      </c>
    </row>
    <row r="6" spans="1:6" x14ac:dyDescent="0.35">
      <c r="A6" t="s">
        <v>8</v>
      </c>
      <c r="B6" s="4">
        <f>'Stock Returns'!G8</f>
        <v>1.9704757861778214E-3</v>
      </c>
      <c r="E6" t="s">
        <v>10</v>
      </c>
      <c r="F6" s="4">
        <f>B4</f>
        <v>2.4659573760398177E-3</v>
      </c>
    </row>
    <row r="7" spans="1:6" x14ac:dyDescent="0.35">
      <c r="E7" t="s">
        <v>9</v>
      </c>
      <c r="F7" s="4">
        <f>B5</f>
        <v>5.2509345849878477E-3</v>
      </c>
    </row>
    <row r="8" spans="1:6" x14ac:dyDescent="0.35">
      <c r="A8" s="3" t="s">
        <v>7</v>
      </c>
      <c r="E8" t="s">
        <v>8</v>
      </c>
      <c r="F8" s="4">
        <f>B6</f>
        <v>1.9704757861778214E-3</v>
      </c>
    </row>
    <row r="9" spans="1:6" x14ac:dyDescent="0.35">
      <c r="A9" t="s">
        <v>53</v>
      </c>
      <c r="B9">
        <f>(B5-B6)/(B4+B5-B6)</f>
        <v>0.57087038233803977</v>
      </c>
    </row>
    <row r="10" spans="1:6" x14ac:dyDescent="0.35">
      <c r="A10" t="s">
        <v>73</v>
      </c>
      <c r="B10">
        <f>1-B9</f>
        <v>0.42912961766196023</v>
      </c>
      <c r="E10" s="3" t="s">
        <v>7</v>
      </c>
    </row>
    <row r="11" spans="1:6" x14ac:dyDescent="0.35">
      <c r="E11" t="s">
        <v>54</v>
      </c>
      <c r="F11">
        <f>(F4*F7-F5*F8)/(F4*F7+F5*F6-(F4+F5)*F8)</f>
        <v>1.3013310475530699</v>
      </c>
    </row>
    <row r="12" spans="1:6" x14ac:dyDescent="0.35">
      <c r="E12" t="s">
        <v>75</v>
      </c>
      <c r="F12">
        <f>1-F11</f>
        <v>-0.30133104755306994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Return calculations</vt:lpstr>
      <vt:lpstr>Stock Returns</vt:lpstr>
      <vt:lpstr>Beta and Cost of Equity</vt:lpstr>
      <vt:lpstr>Optimal Portfolios</vt:lpstr>
    </vt:vector>
  </TitlesOfParts>
  <Company>Rutgers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RBSUser</dc:creator>
  <cp:lastModifiedBy>Wen-Chi Yeh</cp:lastModifiedBy>
  <dcterms:created xsi:type="dcterms:W3CDTF">2019-02-14T18:02:50Z</dcterms:created>
  <dcterms:modified xsi:type="dcterms:W3CDTF">2022-07-17T22:37:14Z</dcterms:modified>
</cp:coreProperties>
</file>